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43" activeTab="1"/>
  </bookViews>
  <sheets>
    <sheet name="Publish Consolidated Summary" sheetId="1" r:id="rId1"/>
    <sheet name="Publish Potash" sheetId="22" r:id="rId2"/>
    <sheet name="Publish Phosphates" sheetId="21" r:id="rId3"/>
    <sheet name="Footnotes" sheetId="23" r:id="rId4"/>
  </sheets>
  <definedNames>
    <definedName name="_xlnm.Print_Area" localSheetId="3">Footnotes!$A$1:$P$23</definedName>
    <definedName name="_xlnm.Print_Area" localSheetId="0">'Publish Consolidated Summary'!$A$1:$M$58</definedName>
    <definedName name="_xlnm.Print_Area" localSheetId="2">'Publish Phosphates'!$A$1:$L$52</definedName>
    <definedName name="_xlnm.Print_Area" localSheetId="1">'Publish Potash'!$A$1:$M$45</definedName>
  </definedNames>
  <calcPr calcId="145621"/>
</workbook>
</file>

<file path=xl/calcChain.xml><?xml version="1.0" encoding="utf-8"?>
<calcChain xmlns="http://schemas.openxmlformats.org/spreadsheetml/2006/main">
  <c r="F12" i="21" l="1"/>
  <c r="G12" i="21"/>
  <c r="H12" i="21"/>
  <c r="I12" i="21"/>
  <c r="J12" i="21"/>
  <c r="K12" i="21"/>
  <c r="L12" i="21"/>
  <c r="E12" i="21"/>
  <c r="M31" i="1" l="1"/>
  <c r="M21" i="1"/>
  <c r="M6" i="1"/>
  <c r="M56" i="1"/>
  <c r="M54" i="1"/>
  <c r="M48" i="1"/>
  <c r="M46" i="1"/>
  <c r="M40" i="1"/>
  <c r="M25" i="1"/>
  <c r="M12" i="1"/>
  <c r="L33" i="21" l="1"/>
  <c r="L20" i="21"/>
  <c r="L15" i="21"/>
  <c r="L14" i="21"/>
  <c r="L8" i="21"/>
  <c r="M49" i="1" s="1"/>
  <c r="M50" i="1" s="1"/>
  <c r="M33" i="22"/>
  <c r="M23" i="22"/>
  <c r="M22" i="22"/>
  <c r="M18" i="22"/>
  <c r="M13" i="22"/>
  <c r="M8" i="22"/>
  <c r="M14" i="22" l="1"/>
  <c r="M57" i="1"/>
  <c r="M58" i="1" s="1"/>
  <c r="M53" i="1"/>
  <c r="M45" i="1"/>
  <c r="M27" i="22"/>
  <c r="L9" i="21"/>
  <c r="L16" i="21"/>
  <c r="M9" i="22"/>
  <c r="M15" i="22" l="1"/>
  <c r="L17" i="21"/>
  <c r="L6" i="1" l="1"/>
  <c r="K20" i="21" l="1"/>
  <c r="K15" i="21"/>
  <c r="K14" i="21"/>
  <c r="K16" i="21" l="1"/>
  <c r="L21" i="1"/>
  <c r="L12" i="1"/>
  <c r="K33" i="21"/>
  <c r="K8" i="21"/>
  <c r="L33" i="22"/>
  <c r="L23" i="22"/>
  <c r="L22" i="22"/>
  <c r="L18" i="22"/>
  <c r="L13" i="22"/>
  <c r="L8" i="22"/>
  <c r="L58" i="1"/>
  <c r="L50" i="1"/>
  <c r="L40" i="1"/>
  <c r="L31" i="1"/>
  <c r="L25" i="1"/>
  <c r="K9" i="21" l="1"/>
  <c r="K17" i="21"/>
  <c r="L27" i="22"/>
  <c r="L14" i="22"/>
  <c r="L9" i="22"/>
  <c r="K6" i="1"/>
  <c r="L15" i="22" l="1"/>
  <c r="F18" i="1"/>
  <c r="F6" i="1" s="1"/>
  <c r="J18" i="1"/>
  <c r="J6" i="1" s="1"/>
  <c r="I18" i="1"/>
  <c r="I6" i="1" s="1"/>
  <c r="H18" i="1"/>
  <c r="H6" i="1" s="1"/>
  <c r="G18" i="1"/>
  <c r="G6" i="1" s="1"/>
  <c r="F22" i="22" l="1"/>
  <c r="G22" i="22"/>
  <c r="H22" i="22"/>
  <c r="I22" i="22"/>
  <c r="J22" i="22"/>
  <c r="K22" i="22"/>
  <c r="F23" i="22"/>
  <c r="G23" i="22"/>
  <c r="H23" i="22"/>
  <c r="I23" i="22"/>
  <c r="J23" i="22"/>
  <c r="K23" i="22"/>
  <c r="K13" i="22"/>
  <c r="J13" i="22"/>
  <c r="I13" i="22"/>
  <c r="H13" i="22"/>
  <c r="G13" i="22"/>
  <c r="F13" i="22"/>
  <c r="F40" i="1"/>
  <c r="G40" i="1"/>
  <c r="H40" i="1"/>
  <c r="I40" i="1"/>
  <c r="J40" i="1"/>
  <c r="K40" i="1"/>
  <c r="H58" i="1"/>
  <c r="K50" i="1"/>
  <c r="J50" i="1"/>
  <c r="I50" i="1"/>
  <c r="H50" i="1"/>
  <c r="G50" i="1"/>
  <c r="F50" i="1"/>
  <c r="F8" i="22"/>
  <c r="G8" i="22"/>
  <c r="H8" i="22"/>
  <c r="I8" i="22"/>
  <c r="J8" i="22"/>
  <c r="K8" i="22"/>
  <c r="J16" i="21"/>
  <c r="I16" i="21"/>
  <c r="H16" i="21"/>
  <c r="G16" i="21"/>
  <c r="F16" i="21"/>
  <c r="E16" i="21"/>
  <c r="H9" i="22" l="1"/>
  <c r="F14" i="22"/>
  <c r="G14" i="22"/>
  <c r="H14" i="22"/>
  <c r="I14" i="22"/>
  <c r="J14" i="22"/>
  <c r="K14" i="22"/>
  <c r="K15" i="22" l="1"/>
  <c r="I15" i="22"/>
  <c r="G15" i="22"/>
  <c r="J15" i="22"/>
  <c r="H15" i="22"/>
  <c r="F15" i="22"/>
  <c r="K23" i="1"/>
  <c r="F9" i="22" l="1"/>
  <c r="G9" i="22"/>
  <c r="I9" i="22"/>
  <c r="J9" i="22"/>
  <c r="K9" i="22"/>
  <c r="F25" i="1"/>
  <c r="G25" i="1"/>
  <c r="H25" i="1"/>
  <c r="I25" i="1"/>
  <c r="J25" i="1"/>
  <c r="K25" i="1"/>
  <c r="K58" i="1" l="1"/>
  <c r="K33" i="22"/>
  <c r="I33" i="22"/>
  <c r="H33" i="22"/>
  <c r="G33" i="22"/>
  <c r="F33" i="22"/>
  <c r="K27" i="22"/>
  <c r="J27" i="22"/>
  <c r="K18" i="22"/>
  <c r="J18" i="22"/>
  <c r="I18" i="22"/>
  <c r="H18" i="22"/>
  <c r="G18" i="22"/>
  <c r="F18" i="22"/>
  <c r="J33" i="21"/>
  <c r="I33" i="21"/>
  <c r="H33" i="21"/>
  <c r="G33" i="21"/>
  <c r="F33" i="21"/>
  <c r="E33" i="21"/>
  <c r="J20" i="21"/>
  <c r="I20" i="21"/>
  <c r="H20" i="21"/>
  <c r="G20" i="21"/>
  <c r="F20" i="21"/>
  <c r="E20" i="21"/>
  <c r="I8" i="21"/>
  <c r="H8" i="21"/>
  <c r="G8" i="21"/>
  <c r="F8" i="21"/>
  <c r="E8" i="21"/>
  <c r="J8" i="21"/>
  <c r="G9" i="21" l="1"/>
  <c r="G17" i="21"/>
  <c r="H9" i="21"/>
  <c r="H17" i="21"/>
  <c r="J9" i="21"/>
  <c r="J17" i="21"/>
  <c r="E9" i="21"/>
  <c r="E17" i="21"/>
  <c r="I9" i="21"/>
  <c r="I17" i="21"/>
  <c r="F9" i="21"/>
  <c r="F17" i="21"/>
  <c r="G58" i="1"/>
  <c r="I58" i="1"/>
  <c r="F58" i="1"/>
  <c r="J58" i="1"/>
  <c r="H27" i="22"/>
  <c r="J33" i="22"/>
  <c r="G27" i="22"/>
  <c r="I27" i="22"/>
  <c r="F27" i="22" l="1"/>
  <c r="K21" i="1" l="1"/>
  <c r="K12" i="1"/>
  <c r="K31" i="1" l="1"/>
  <c r="J31" i="1"/>
  <c r="J21" i="1" l="1"/>
  <c r="J12" i="1"/>
  <c r="I21" i="1"/>
  <c r="I12" i="1"/>
  <c r="H21" i="1" l="1"/>
  <c r="H12" i="1"/>
  <c r="G21" i="1"/>
  <c r="G12" i="1"/>
  <c r="F21" i="1"/>
  <c r="F12" i="1"/>
  <c r="I31" i="1" l="1"/>
  <c r="H31" i="1"/>
  <c r="G31" i="1"/>
  <c r="F31" i="1"/>
</calcChain>
</file>

<file path=xl/sharedStrings.xml><?xml version="1.0" encoding="utf-8"?>
<sst xmlns="http://schemas.openxmlformats.org/spreadsheetml/2006/main" count="174" uniqueCount="137">
  <si>
    <t>Cash flow from operations</t>
  </si>
  <si>
    <t>Cash flow from investments</t>
  </si>
  <si>
    <t>Cash flow from financing</t>
  </si>
  <si>
    <t>Net cash flow</t>
  </si>
  <si>
    <t>Cash dividends paid</t>
  </si>
  <si>
    <t>Potash</t>
  </si>
  <si>
    <t>Operating rate</t>
  </si>
  <si>
    <t>DD&amp;A</t>
  </si>
  <si>
    <t>Resource Taxes</t>
  </si>
  <si>
    <t>Effect of exchange rate changes on cash</t>
  </si>
  <si>
    <t>Diluted net earnings per share</t>
  </si>
  <si>
    <t>Operating Data</t>
  </si>
  <si>
    <t>Feed Phosphates</t>
  </si>
  <si>
    <t xml:space="preserve"> </t>
  </si>
  <si>
    <t>Segment income statement</t>
  </si>
  <si>
    <t>The Mosaic Company - Summary</t>
  </si>
  <si>
    <t>Cash &amp; cash equivalents</t>
  </si>
  <si>
    <t>Phosphates</t>
  </si>
  <si>
    <t>Non-Agricultural</t>
  </si>
  <si>
    <t>COGS additional detail</t>
  </si>
  <si>
    <t>Operating Earnings</t>
  </si>
  <si>
    <t>Crop Nutrients</t>
  </si>
  <si>
    <t>Segment Operating Earnings</t>
  </si>
  <si>
    <t>Consolidated Op Earnings</t>
  </si>
  <si>
    <t>Q2 FY11</t>
  </si>
  <si>
    <t>Q3 FY11</t>
  </si>
  <si>
    <t>Q4 FY11</t>
  </si>
  <si>
    <t>Q1 FY12</t>
  </si>
  <si>
    <t>Q2 FY12</t>
  </si>
  <si>
    <t>Q3 FY12</t>
  </si>
  <si>
    <t>Segment Gross Profit</t>
  </si>
  <si>
    <t>Gross Profit %</t>
  </si>
  <si>
    <t>Revenue</t>
  </si>
  <si>
    <t>Net debt</t>
  </si>
  <si>
    <t>Total Debt</t>
  </si>
  <si>
    <t>Cost of Goods Sold</t>
  </si>
  <si>
    <t>Gross Profit</t>
  </si>
  <si>
    <t>Resources Taxes</t>
  </si>
  <si>
    <t>Production Volume</t>
  </si>
  <si>
    <t>Phosphates volumes represent dry product tonnes.  Excludes tonnes sold by PhosChem for its other member.</t>
  </si>
  <si>
    <t>The average product mix in our Blends (by volumes) contains approximately 50% phosphate, 25% potash and 25% nitrogen, although this mix can differ based on seasonal and other factors.</t>
  </si>
  <si>
    <t xml:space="preserve">(c) </t>
  </si>
  <si>
    <t>Potash volumes include intersegment sales, and exclude tonnes mined under a third party tolling arrangement.</t>
  </si>
  <si>
    <t>FOB Plant, sales to unrelated parties.</t>
  </si>
  <si>
    <t xml:space="preserve">(b) </t>
  </si>
  <si>
    <t>This price excludes industrial and feed sales.</t>
  </si>
  <si>
    <t>Other volumes are primarily single superphosphate, potash and nitrogen products sold in countries outside North America.</t>
  </si>
  <si>
    <t xml:space="preserve">Delivered Tampa, Florida. Amounts are representative of our average ammonia costs in cost of goods sold. </t>
  </si>
  <si>
    <t>Amounts are representative of our average sulfur cost in cost of goods sold.</t>
  </si>
  <si>
    <t xml:space="preserve">Includes crop nutrient dry concentrates and animal feed ingredients.  </t>
  </si>
  <si>
    <t>three point quarterly average (Fertecon)</t>
  </si>
  <si>
    <t>three point quarterly average (Green Markets)</t>
  </si>
  <si>
    <t>(i)</t>
  </si>
  <si>
    <t>three point quarterly average (NYMEX)</t>
  </si>
  <si>
    <t>Includes elimination of intersegment sales.</t>
  </si>
  <si>
    <t xml:space="preserve">(d) </t>
  </si>
  <si>
    <t>Excludes PhosChem quarterly sales for its other member, included in our financials. PhosChem is a consolidated subsidiary of Mosaic.</t>
  </si>
  <si>
    <t>(j)</t>
  </si>
  <si>
    <t>Brine Inflow Expenses</t>
  </si>
  <si>
    <t xml:space="preserve">(e) </t>
  </si>
  <si>
    <t>(k)</t>
  </si>
  <si>
    <t>(l)</t>
  </si>
  <si>
    <t>Footnotes</t>
  </si>
  <si>
    <t>(m)</t>
  </si>
  <si>
    <t>(n)</t>
  </si>
  <si>
    <t>(o)</t>
  </si>
  <si>
    <t>(p)</t>
  </si>
  <si>
    <r>
      <t>Sulfur (long ton)</t>
    </r>
    <r>
      <rPr>
        <vertAlign val="superscript"/>
        <sz val="11"/>
        <color theme="1"/>
        <rFont val="Calibri"/>
        <family val="2"/>
        <scheme val="minor"/>
      </rPr>
      <t>(o)</t>
    </r>
  </si>
  <si>
    <r>
      <t>Natural Gas</t>
    </r>
    <r>
      <rPr>
        <vertAlign val="superscript"/>
        <sz val="11"/>
        <color theme="1"/>
        <rFont val="Calibri"/>
        <family val="2"/>
        <scheme val="minor"/>
      </rPr>
      <t>(p)</t>
    </r>
  </si>
  <si>
    <t>Royalties</t>
  </si>
  <si>
    <t>Total Resources Taxes &amp; Royalties</t>
  </si>
  <si>
    <t>Gross Profit (x Resources Taxes &amp; Royalties)</t>
  </si>
  <si>
    <t xml:space="preserve">Total Net Sales  </t>
  </si>
  <si>
    <t>Net Sales</t>
  </si>
  <si>
    <t>Includes positive tax impact of approximately 5% from the gain on sale of Fosfertil in Q2 FY11.</t>
  </si>
  <si>
    <t>MTM (gain)/loss</t>
  </si>
  <si>
    <t>As % of Sales</t>
  </si>
  <si>
    <r>
      <t>Production Volumes</t>
    </r>
    <r>
      <rPr>
        <sz val="11"/>
        <color theme="1"/>
        <rFont val="Calibri"/>
        <family val="2"/>
        <scheme val="minor"/>
      </rPr>
      <t xml:space="preserve"> ('000 tonnes)</t>
    </r>
  </si>
  <si>
    <r>
      <t>Sales volumes</t>
    </r>
    <r>
      <rPr>
        <sz val="11"/>
        <color theme="1"/>
        <rFont val="Calibri"/>
        <family val="2"/>
        <scheme val="minor"/>
      </rPr>
      <t xml:space="preserve"> ('000 tonnes)</t>
    </r>
  </si>
  <si>
    <r>
      <t xml:space="preserve">Potash CAPEX  </t>
    </r>
    <r>
      <rPr>
        <sz val="11"/>
        <color theme="1"/>
        <rFont val="Calibri"/>
        <family val="2"/>
        <scheme val="minor"/>
      </rPr>
      <t>($ in millions)</t>
    </r>
  </si>
  <si>
    <r>
      <t>Ammonia (tonne)</t>
    </r>
    <r>
      <rPr>
        <vertAlign val="superscript"/>
        <sz val="11"/>
        <color theme="1"/>
        <rFont val="Calibri"/>
        <family val="2"/>
        <scheme val="minor"/>
      </rPr>
      <t>(n)</t>
    </r>
  </si>
  <si>
    <r>
      <t>Phosphates CAPEX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($ in millions)</t>
    </r>
  </si>
  <si>
    <r>
      <t xml:space="preserve">Average Market prices </t>
    </r>
    <r>
      <rPr>
        <i/>
        <sz val="11"/>
        <color theme="1"/>
        <rFont val="Calibri"/>
        <family val="2"/>
        <scheme val="minor"/>
      </rPr>
      <t xml:space="preserve"> ($/tonne)</t>
    </r>
  </si>
  <si>
    <r>
      <t xml:space="preserve">Realized costs  </t>
    </r>
    <r>
      <rPr>
        <i/>
        <sz val="11"/>
        <color theme="1"/>
        <rFont val="Calibri"/>
        <family val="2"/>
        <scheme val="minor"/>
      </rPr>
      <t>($/tonne)</t>
    </r>
  </si>
  <si>
    <r>
      <t>Realized prices</t>
    </r>
    <r>
      <rPr>
        <i/>
        <sz val="11"/>
        <color theme="1"/>
        <rFont val="Calibri"/>
        <family val="2"/>
        <scheme val="minor"/>
      </rPr>
      <t xml:space="preserve"> ( $/tonne)</t>
    </r>
  </si>
  <si>
    <r>
      <t>Net Income margin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(As % of Sales)</t>
    </r>
  </si>
  <si>
    <r>
      <t>Gross Profit Margin</t>
    </r>
    <r>
      <rPr>
        <i/>
        <sz val="11"/>
        <color theme="1"/>
        <rFont val="Calibri"/>
        <family val="2"/>
        <scheme val="minor"/>
      </rPr>
      <t xml:space="preserve"> (As % of Sales)</t>
    </r>
  </si>
  <si>
    <r>
      <t>Realized prices</t>
    </r>
    <r>
      <rPr>
        <sz val="11"/>
        <color theme="1"/>
        <rFont val="Calibri"/>
        <family val="2"/>
        <scheme val="minor"/>
      </rPr>
      <t xml:space="preserve"> (FOB plant, $/tonne)</t>
    </r>
  </si>
  <si>
    <t>Share repurchases</t>
  </si>
  <si>
    <t>PhosChem sales of other member</t>
  </si>
  <si>
    <t>Gross Margin</t>
  </si>
  <si>
    <t>Net Income</t>
  </si>
  <si>
    <t>SG&amp;A</t>
  </si>
  <si>
    <t>Foreign Currency Gain/(Loss)</t>
  </si>
  <si>
    <t>Q4 FY12</t>
  </si>
  <si>
    <t>Q4FY12</t>
  </si>
  <si>
    <t>Calculation for diluted foreign currency gain and loss applies effective tax rate.</t>
  </si>
  <si>
    <t>Q1 FY13</t>
  </si>
  <si>
    <t>Q1FY13</t>
  </si>
  <si>
    <r>
      <t xml:space="preserve">Foreign Currency Gain/Loss per diluted share </t>
    </r>
    <r>
      <rPr>
        <b/>
        <vertAlign val="superscript"/>
        <sz val="11"/>
        <color theme="1"/>
        <rFont val="Calibri"/>
        <family val="2"/>
        <scheme val="minor"/>
      </rPr>
      <t>(a)</t>
    </r>
  </si>
  <si>
    <t xml:space="preserve">Diluted weighted average # of shares outstanding </t>
  </si>
  <si>
    <r>
      <t>Consolidated data</t>
    </r>
    <r>
      <rPr>
        <i/>
        <sz val="11"/>
        <color theme="1"/>
        <rFont val="Calibri"/>
        <family val="2"/>
        <scheme val="minor"/>
      </rPr>
      <t xml:space="preserve"> (in millions, except per share)</t>
    </r>
  </si>
  <si>
    <r>
      <t>Effective Tax Rate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</si>
  <si>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t>(a)</t>
  </si>
  <si>
    <r>
      <t xml:space="preserve">Corporate </t>
    </r>
    <r>
      <rPr>
        <vertAlign val="superscript"/>
        <sz val="11"/>
        <color theme="1"/>
        <rFont val="Calibri"/>
        <family val="2"/>
        <scheme val="minor"/>
      </rPr>
      <t>©</t>
    </r>
  </si>
  <si>
    <r>
      <t xml:space="preserve">Segment data </t>
    </r>
    <r>
      <rPr>
        <i/>
        <sz val="11"/>
        <color theme="1"/>
        <rFont val="Calibri"/>
        <family val="2"/>
        <scheme val="minor"/>
      </rPr>
      <t xml:space="preserve"> (in millions, except per tonne)</t>
    </r>
  </si>
  <si>
    <r>
      <t>Sales volumes ('000 tonnes)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</si>
  <si>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>Realized average DAP price/tonne</t>
    </r>
    <r>
      <rPr>
        <vertAlign val="superscript"/>
        <sz val="11"/>
        <color theme="1"/>
        <rFont val="Calibri"/>
        <family val="2"/>
        <scheme val="minor"/>
      </rPr>
      <t>(e)</t>
    </r>
  </si>
  <si>
    <r>
      <t>Sales volumes ('000 tonnes)</t>
    </r>
    <r>
      <rPr>
        <vertAlign val="superscript"/>
        <sz val="11"/>
        <color theme="1"/>
        <rFont val="Calibri"/>
        <family val="2"/>
        <scheme val="minor"/>
      </rPr>
      <t>(f)</t>
    </r>
  </si>
  <si>
    <r>
      <t>Realized average MOP price/tonne</t>
    </r>
    <r>
      <rPr>
        <vertAlign val="superscript"/>
        <sz val="11"/>
        <color theme="1"/>
        <rFont val="Calibri"/>
        <family val="2"/>
        <scheme val="minor"/>
      </rPr>
      <t>(e)</t>
    </r>
  </si>
  <si>
    <r>
      <t>Net Sales and Gross Margin</t>
    </r>
    <r>
      <rPr>
        <i/>
        <sz val="11"/>
        <color theme="1"/>
        <rFont val="Calibri"/>
        <family val="2"/>
        <scheme val="minor"/>
      </rPr>
      <t xml:space="preserve"> (in millions, except per tonne)</t>
    </r>
  </si>
  <si>
    <r>
      <t>Cost of Goods Sold Detail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(in millions)</t>
    </r>
  </si>
  <si>
    <r>
      <t>Crop Nutrients North America</t>
    </r>
    <r>
      <rPr>
        <vertAlign val="superscript"/>
        <sz val="11"/>
        <color theme="1"/>
        <rFont val="Calibri"/>
        <family val="2"/>
        <scheme val="minor"/>
      </rPr>
      <t>(f)</t>
    </r>
  </si>
  <si>
    <r>
      <t>Crop Nutrients International</t>
    </r>
    <r>
      <rPr>
        <vertAlign val="superscript"/>
        <sz val="11"/>
        <color theme="1"/>
        <rFont val="Calibri"/>
        <family val="2"/>
        <scheme val="minor"/>
      </rPr>
      <t>(f)</t>
    </r>
  </si>
  <si>
    <r>
      <t>Total</t>
    </r>
    <r>
      <rPr>
        <b/>
        <vertAlign val="superscript"/>
        <sz val="11"/>
        <color theme="1"/>
        <rFont val="Calibri"/>
        <family val="2"/>
        <scheme val="minor"/>
      </rPr>
      <t>(f)</t>
    </r>
  </si>
  <si>
    <r>
      <t xml:space="preserve">    MOP - North America crop nutrients</t>
    </r>
    <r>
      <rPr>
        <vertAlign val="superscript"/>
        <sz val="11"/>
        <color theme="1"/>
        <rFont val="Calibri"/>
        <family val="2"/>
        <scheme val="minor"/>
      </rPr>
      <t>(e)(g)</t>
    </r>
  </si>
  <si>
    <r>
      <t xml:space="preserve">    MOP - International</t>
    </r>
    <r>
      <rPr>
        <vertAlign val="superscript"/>
        <sz val="11"/>
        <color theme="1"/>
        <rFont val="Calibri"/>
        <family val="2"/>
        <scheme val="minor"/>
      </rPr>
      <t>(e)</t>
    </r>
  </si>
  <si>
    <r>
      <t xml:space="preserve">    MOP - Average</t>
    </r>
    <r>
      <rPr>
        <vertAlign val="superscript"/>
        <sz val="11"/>
        <color theme="1"/>
        <rFont val="Calibri"/>
        <family val="2"/>
        <scheme val="minor"/>
      </rPr>
      <t>(e)</t>
    </r>
  </si>
  <si>
    <r>
      <t>Mosaic Sales (x PhosChem)</t>
    </r>
    <r>
      <rPr>
        <vertAlign val="superscript"/>
        <sz val="11"/>
        <color theme="1"/>
        <rFont val="Calibri"/>
        <family val="2"/>
        <scheme val="minor"/>
      </rPr>
      <t>(h)</t>
    </r>
  </si>
  <si>
    <r>
      <t>Mosaic COGS (x PhosChem)</t>
    </r>
    <r>
      <rPr>
        <vertAlign val="superscript"/>
        <sz val="11"/>
        <color theme="1"/>
        <rFont val="Calibri"/>
        <family val="2"/>
        <scheme val="minor"/>
      </rPr>
      <t>(h)</t>
    </r>
  </si>
  <si>
    <r>
      <t>Gross Profit (x PhosChem)</t>
    </r>
    <r>
      <rPr>
        <b/>
        <vertAlign val="superscript"/>
        <sz val="11"/>
        <color theme="1"/>
        <rFont val="Calibri"/>
        <family val="2"/>
        <scheme val="minor"/>
      </rPr>
      <t>(h)</t>
    </r>
  </si>
  <si>
    <r>
      <t>As % of Sales (x PhosChem)</t>
    </r>
    <r>
      <rPr>
        <i/>
        <vertAlign val="superscript"/>
        <sz val="11"/>
        <color theme="1"/>
        <rFont val="Calibri"/>
        <family val="2"/>
        <scheme val="minor"/>
      </rPr>
      <t>(h)</t>
    </r>
  </si>
  <si>
    <r>
      <t>North America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</si>
  <si>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>International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</si>
  <si>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>Crop Nutrient Blends</t>
    </r>
    <r>
      <rPr>
        <vertAlign val="superscript"/>
        <sz val="11"/>
        <color theme="1"/>
        <rFont val="Calibri"/>
        <family val="2"/>
        <scheme val="minor"/>
      </rPr>
      <t>(i)</t>
    </r>
  </si>
  <si>
    <r>
      <t>Total</t>
    </r>
    <r>
      <rPr>
        <b/>
        <vertAlign val="superscript"/>
        <sz val="11"/>
        <color theme="1"/>
        <rFont val="Calibri"/>
        <family val="2"/>
        <scheme val="minor"/>
      </rPr>
      <t>(d)</t>
    </r>
  </si>
  <si>
    <r>
      <t>Other</t>
    </r>
    <r>
      <rPr>
        <vertAlign val="superscript"/>
        <sz val="11"/>
        <color theme="1"/>
        <rFont val="Calibri"/>
        <family val="2"/>
        <scheme val="minor"/>
      </rPr>
      <t>(j)</t>
    </r>
  </si>
  <si>
    <r>
      <t>Total tonnes produced</t>
    </r>
    <r>
      <rPr>
        <vertAlign val="superscript"/>
        <sz val="11"/>
        <color theme="1"/>
        <rFont val="Calibri"/>
        <family val="2"/>
        <scheme val="minor"/>
      </rPr>
      <t>(k)</t>
    </r>
  </si>
  <si>
    <r>
      <t>DAP (FOB plant)</t>
    </r>
    <r>
      <rPr>
        <vertAlign val="superscript"/>
        <sz val="11"/>
        <color theme="1"/>
        <rFont val="Calibri"/>
        <family val="2"/>
        <scheme val="minor"/>
      </rPr>
      <t>(e)</t>
    </r>
  </si>
  <si>
    <r>
      <t>Blends (FOB destination)</t>
    </r>
    <r>
      <rPr>
        <vertAlign val="superscript"/>
        <sz val="11"/>
        <color theme="1"/>
        <rFont val="Calibri"/>
        <family val="2"/>
        <scheme val="minor"/>
      </rPr>
      <t>(i)</t>
    </r>
  </si>
  <si>
    <r>
      <t>Ammonia (tonne)</t>
    </r>
    <r>
      <rPr>
        <vertAlign val="superscript"/>
        <sz val="11"/>
        <color theme="1"/>
        <rFont val="Calibri"/>
        <family val="2"/>
        <scheme val="minor"/>
      </rPr>
      <t>(l)</t>
    </r>
  </si>
  <si>
    <r>
      <t>Sulfur (long ton)</t>
    </r>
    <r>
      <rPr>
        <vertAlign val="superscript"/>
        <sz val="11"/>
        <color theme="1"/>
        <rFont val="Calibri"/>
        <family val="2"/>
        <scheme val="minor"/>
      </rPr>
      <t>(m)</t>
    </r>
  </si>
  <si>
    <t xml:space="preserve">(f) </t>
  </si>
  <si>
    <t>(g)</t>
  </si>
  <si>
    <t xml:space="preserve">(h) </t>
  </si>
  <si>
    <t>Total</t>
  </si>
  <si>
    <t>PhosChem COGS of other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</si>
</sst>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indexed="8"/>
      <name val="MS Sans Serif"/>
      <family val="2"/>
    </font>
    <font>
      <vertAlign val="superscript"/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121">
    <xf numFmtId="0" fontId="0" fillId="0" borderId="0" xfId="0"/>
    <xf numFmtId="0" fontId="0" fillId="0" borderId="0" xfId="0" applyFill="1"/>
    <xf numFmtId="9" fontId="0" fillId="0" borderId="0" xfId="3" applyFont="1" applyFill="1"/>
    <xf numFmtId="164" fontId="0" fillId="0" borderId="0" xfId="2" applyNumberFormat="1" applyFont="1" applyFill="1"/>
    <xf numFmtId="166" fontId="0" fillId="0" borderId="0" xfId="1" applyNumberFormat="1" applyFont="1" applyFill="1"/>
    <xf numFmtId="167" fontId="0" fillId="0" borderId="0" xfId="2" applyNumberFormat="1" applyFont="1" applyFill="1"/>
    <xf numFmtId="0" fontId="2" fillId="0" borderId="0" xfId="0" applyFont="1"/>
    <xf numFmtId="0" fontId="2" fillId="0" borderId="0" xfId="0" applyFont="1" applyFill="1"/>
    <xf numFmtId="166" fontId="0" fillId="0" borderId="0" xfId="0" applyNumberFormat="1"/>
    <xf numFmtId="43" fontId="0" fillId="0" borderId="0" xfId="0" applyNumberFormat="1" applyFill="1"/>
    <xf numFmtId="166" fontId="0" fillId="0" borderId="1" xfId="1" applyNumberFormat="1" applyFont="1" applyFill="1" applyBorder="1"/>
    <xf numFmtId="0" fontId="5" fillId="0" borderId="0" xfId="0" applyFont="1"/>
    <xf numFmtId="0" fontId="0" fillId="2" borderId="0" xfId="0" applyFill="1"/>
    <xf numFmtId="0" fontId="2" fillId="2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" fontId="0" fillId="2" borderId="0" xfId="0" applyNumberFormat="1" applyFill="1"/>
    <xf numFmtId="0" fontId="0" fillId="3" borderId="0" xfId="0" applyFill="1" applyBorder="1"/>
    <xf numFmtId="166" fontId="0" fillId="3" borderId="0" xfId="1" applyNumberFormat="1" applyFont="1" applyFill="1"/>
    <xf numFmtId="167" fontId="0" fillId="0" borderId="0" xfId="2" applyNumberFormat="1" applyFont="1"/>
    <xf numFmtId="166" fontId="0" fillId="3" borderId="0" xfId="0" applyNumberFormat="1" applyFill="1" applyBorder="1"/>
    <xf numFmtId="9" fontId="0" fillId="3" borderId="0" xfId="3" applyFont="1" applyFill="1"/>
    <xf numFmtId="9" fontId="9" fillId="0" borderId="0" xfId="3" applyFont="1"/>
    <xf numFmtId="9" fontId="9" fillId="3" borderId="0" xfId="3" applyFont="1" applyFill="1" applyBorder="1"/>
    <xf numFmtId="167" fontId="2" fillId="3" borderId="0" xfId="2" applyNumberFormat="1" applyFont="1" applyFill="1" applyBorder="1"/>
    <xf numFmtId="166" fontId="0" fillId="3" borderId="1" xfId="1" applyNumberFormat="1" applyFont="1" applyFill="1" applyBorder="1"/>
    <xf numFmtId="0" fontId="2" fillId="3" borderId="0" xfId="0" applyFont="1" applyFill="1"/>
    <xf numFmtId="44" fontId="2" fillId="0" borderId="0" xfId="2" applyFont="1" applyFill="1"/>
    <xf numFmtId="0" fontId="3" fillId="3" borderId="0" xfId="0" applyFont="1" applyFill="1"/>
    <xf numFmtId="166" fontId="0" fillId="0" borderId="0" xfId="0" applyNumberFormat="1" applyFill="1"/>
    <xf numFmtId="0" fontId="8" fillId="3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167" fontId="11" fillId="3" borderId="0" xfId="2" applyNumberFormat="1" applyFont="1" applyFill="1" applyBorder="1"/>
    <xf numFmtId="9" fontId="9" fillId="3" borderId="0" xfId="3" applyFont="1" applyFill="1" applyBorder="1" applyAlignment="1">
      <alignment horizontal="right"/>
    </xf>
    <xf numFmtId="9" fontId="9" fillId="3" borderId="0" xfId="3" applyFont="1" applyFill="1" applyBorder="1" applyAlignment="1">
      <alignment horizontal="center"/>
    </xf>
    <xf numFmtId="9" fontId="1" fillId="3" borderId="0" xfId="3" applyFont="1" applyFill="1" applyBorder="1" applyAlignment="1">
      <alignment horizontal="center"/>
    </xf>
    <xf numFmtId="43" fontId="0" fillId="3" borderId="0" xfId="0" applyNumberFormat="1" applyFill="1" applyBorder="1"/>
    <xf numFmtId="166" fontId="0" fillId="3" borderId="0" xfId="1" applyNumberFormat="1" applyFont="1" applyFill="1" applyBorder="1"/>
    <xf numFmtId="0" fontId="5" fillId="3" borderId="0" xfId="0" applyFont="1" applyFill="1"/>
    <xf numFmtId="9" fontId="9" fillId="0" borderId="0" xfId="3" applyFont="1" applyAlignment="1">
      <alignment horizontal="right"/>
    </xf>
    <xf numFmtId="9" fontId="9" fillId="3" borderId="0" xfId="3" applyFont="1" applyFill="1" applyAlignment="1">
      <alignment horizontal="right"/>
    </xf>
    <xf numFmtId="166" fontId="2" fillId="0" borderId="3" xfId="1" applyNumberFormat="1" applyFont="1" applyFill="1" applyBorder="1" applyAlignment="1">
      <alignment horizontal="right"/>
    </xf>
    <xf numFmtId="0" fontId="1" fillId="0" borderId="0" xfId="0" applyFont="1"/>
    <xf numFmtId="1" fontId="1" fillId="2" borderId="0" xfId="0" applyNumberFormat="1" applyFont="1" applyFill="1"/>
    <xf numFmtId="0" fontId="1" fillId="2" borderId="0" xfId="0" applyFont="1" applyFill="1"/>
    <xf numFmtId="1" fontId="1" fillId="0" borderId="0" xfId="0" applyNumberFormat="1" applyFont="1" applyFill="1"/>
    <xf numFmtId="0" fontId="1" fillId="0" borderId="0" xfId="0" applyFont="1" applyFill="1"/>
    <xf numFmtId="1" fontId="1" fillId="0" borderId="0" xfId="0" applyNumberFormat="1" applyFont="1"/>
    <xf numFmtId="166" fontId="1" fillId="0" borderId="0" xfId="1" applyNumberFormat="1" applyFont="1" applyFill="1" applyAlignment="1">
      <alignment horizontal="right"/>
    </xf>
    <xf numFmtId="166" fontId="1" fillId="0" borderId="1" xfId="1" applyNumberFormat="1" applyFont="1" applyFill="1" applyBorder="1" applyAlignment="1">
      <alignment horizontal="right"/>
    </xf>
    <xf numFmtId="166" fontId="1" fillId="0" borderId="0" xfId="1" applyNumberFormat="1" applyFont="1" applyBorder="1" applyAlignment="1">
      <alignment horizontal="right"/>
    </xf>
    <xf numFmtId="166" fontId="1" fillId="0" borderId="0" xfId="1" applyNumberFormat="1" applyFont="1" applyAlignment="1">
      <alignment horizontal="right"/>
    </xf>
    <xf numFmtId="166" fontId="1" fillId="3" borderId="0" xfId="1" applyNumberFormat="1" applyFont="1" applyFill="1" applyAlignment="1">
      <alignment horizontal="right"/>
    </xf>
    <xf numFmtId="166" fontId="2" fillId="3" borderId="0" xfId="1" applyNumberFormat="1" applyFont="1" applyFill="1" applyBorder="1"/>
    <xf numFmtId="166" fontId="2" fillId="3" borderId="2" xfId="1" applyNumberFormat="1" applyFont="1" applyFill="1" applyBorder="1"/>
    <xf numFmtId="165" fontId="1" fillId="0" borderId="0" xfId="1" applyNumberFormat="1" applyFont="1" applyFill="1"/>
    <xf numFmtId="167" fontId="2" fillId="0" borderId="0" xfId="2" applyNumberFormat="1" applyFont="1"/>
    <xf numFmtId="167" fontId="0" fillId="0" borderId="0" xfId="2" applyNumberFormat="1" applyFont="1" applyBorder="1"/>
    <xf numFmtId="166" fontId="0" fillId="0" borderId="1" xfId="3" applyNumberFormat="1" applyFont="1" applyFill="1" applyBorder="1"/>
    <xf numFmtId="166" fontId="1" fillId="0" borderId="0" xfId="1" applyNumberFormat="1" applyFont="1"/>
    <xf numFmtId="166" fontId="1" fillId="0" borderId="1" xfId="1" applyNumberFormat="1" applyFont="1" applyBorder="1"/>
    <xf numFmtId="0" fontId="0" fillId="0" borderId="0" xfId="0" applyAlignment="1">
      <alignment horizontal="right" indent="1"/>
    </xf>
    <xf numFmtId="9" fontId="1" fillId="0" borderId="0" xfId="3" applyFont="1"/>
    <xf numFmtId="166" fontId="1" fillId="3" borderId="0" xfId="1" applyNumberFormat="1" applyFont="1" applyFill="1" applyBorder="1"/>
    <xf numFmtId="166" fontId="4" fillId="3" borderId="1" xfId="1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center" wrapText="1"/>
    </xf>
    <xf numFmtId="166" fontId="9" fillId="3" borderId="1" xfId="1" applyNumberFormat="1" applyFont="1" applyFill="1" applyBorder="1" applyAlignment="1">
      <alignment horizontal="right"/>
    </xf>
    <xf numFmtId="0" fontId="9" fillId="0" borderId="0" xfId="0" applyFont="1" applyAlignment="1">
      <alignment horizontal="right" indent="1"/>
    </xf>
    <xf numFmtId="0" fontId="9" fillId="0" borderId="0" xfId="0" applyFont="1" applyFill="1"/>
    <xf numFmtId="167" fontId="2" fillId="0" borderId="0" xfId="2" applyNumberFormat="1" applyFont="1" applyFill="1"/>
    <xf numFmtId="9" fontId="2" fillId="0" borderId="0" xfId="3" applyFont="1" applyFill="1"/>
    <xf numFmtId="166" fontId="1" fillId="0" borderId="0" xfId="1" applyNumberFormat="1" applyFont="1" applyFill="1" applyAlignment="1">
      <alignment horizontal="left" indent="2"/>
    </xf>
    <xf numFmtId="0" fontId="2" fillId="0" borderId="0" xfId="0" applyFont="1" applyAlignment="1">
      <alignment horizontal="left" indent="2"/>
    </xf>
    <xf numFmtId="166" fontId="1" fillId="3" borderId="1" xfId="1" applyNumberFormat="1" applyFont="1" applyFill="1" applyBorder="1"/>
    <xf numFmtId="167" fontId="9" fillId="3" borderId="0" xfId="3" applyNumberFormat="1" applyFont="1" applyFill="1" applyBorder="1" applyAlignment="1">
      <alignment horizontal="right"/>
    </xf>
    <xf numFmtId="0" fontId="13" fillId="2" borderId="0" xfId="0" applyFont="1" applyFill="1"/>
    <xf numFmtId="9" fontId="1" fillId="3" borderId="0" xfId="3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9" fillId="3" borderId="0" xfId="1" applyNumberFormat="1" applyFont="1" applyFill="1" applyAlignment="1">
      <alignment horizontal="right"/>
    </xf>
    <xf numFmtId="0" fontId="15" fillId="4" borderId="0" xfId="4" applyFont="1" applyFill="1" applyBorder="1" applyAlignment="1">
      <alignment horizontal="left" vertical="top"/>
    </xf>
    <xf numFmtId="0" fontId="12" fillId="4" borderId="0" xfId="5" applyFont="1" applyFill="1" applyAlignment="1">
      <alignment vertical="top"/>
    </xf>
    <xf numFmtId="0" fontId="16" fillId="4" borderId="0" xfId="4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3" borderId="0" xfId="0" applyFill="1" applyAlignment="1">
      <alignment vertical="top"/>
    </xf>
    <xf numFmtId="166" fontId="1" fillId="0" borderId="0" xfId="1" applyNumberFormat="1" applyFont="1" applyBorder="1"/>
    <xf numFmtId="0" fontId="9" fillId="0" borderId="0" xfId="0" applyFont="1" applyAlignment="1">
      <alignment horizontal="left" indent="1"/>
    </xf>
    <xf numFmtId="0" fontId="9" fillId="0" borderId="0" xfId="0" applyFont="1"/>
    <xf numFmtId="167" fontId="1" fillId="0" borderId="0" xfId="2" applyNumberFormat="1" applyFont="1"/>
    <xf numFmtId="167" fontId="1" fillId="0" borderId="0" xfId="2" applyNumberFormat="1" applyFont="1" applyBorder="1"/>
    <xf numFmtId="167" fontId="1" fillId="3" borderId="0" xfId="2" applyNumberFormat="1" applyFont="1" applyFill="1" applyBorder="1"/>
    <xf numFmtId="167" fontId="1" fillId="0" borderId="3" xfId="2" applyNumberFormat="1" applyFont="1" applyFill="1" applyBorder="1"/>
    <xf numFmtId="167" fontId="2" fillId="3" borderId="2" xfId="2" applyNumberFormat="1" applyFont="1" applyFill="1" applyBorder="1"/>
    <xf numFmtId="167" fontId="1" fillId="0" borderId="0" xfId="2" applyNumberFormat="1" applyFont="1" applyAlignment="1">
      <alignment horizontal="left" indent="2"/>
    </xf>
    <xf numFmtId="167" fontId="2" fillId="0" borderId="2" xfId="2" applyNumberFormat="1" applyFont="1" applyFill="1" applyBorder="1" applyAlignment="1">
      <alignment horizontal="left" indent="2"/>
    </xf>
    <xf numFmtId="167" fontId="1" fillId="0" borderId="0" xfId="2" applyNumberFormat="1" applyFont="1" applyAlignment="1">
      <alignment horizontal="right"/>
    </xf>
    <xf numFmtId="167" fontId="1" fillId="3" borderId="0" xfId="2" applyNumberFormat="1" applyFont="1" applyFill="1" applyAlignment="1">
      <alignment horizontal="right"/>
    </xf>
    <xf numFmtId="167" fontId="0" fillId="3" borderId="0" xfId="2" applyNumberFormat="1" applyFont="1" applyFill="1"/>
    <xf numFmtId="167" fontId="0" fillId="3" borderId="0" xfId="2" applyNumberFormat="1" applyFont="1" applyFill="1" applyBorder="1" applyAlignment="1">
      <alignment horizontal="center"/>
    </xf>
    <xf numFmtId="167" fontId="9" fillId="3" borderId="0" xfId="2" applyNumberFormat="1" applyFont="1" applyFill="1" applyBorder="1" applyAlignment="1">
      <alignment horizontal="right"/>
    </xf>
    <xf numFmtId="167" fontId="9" fillId="3" borderId="0" xfId="2" applyNumberFormat="1" applyFont="1" applyFill="1" applyBorder="1" applyAlignment="1">
      <alignment horizontal="center"/>
    </xf>
    <xf numFmtId="167" fontId="2" fillId="3" borderId="2" xfId="2" applyNumberFormat="1" applyFont="1" applyFill="1" applyBorder="1" applyAlignment="1">
      <alignment horizontal="center"/>
    </xf>
    <xf numFmtId="167" fontId="1" fillId="3" borderId="0" xfId="2" applyNumberFormat="1" applyFont="1" applyFill="1" applyBorder="1" applyAlignment="1">
      <alignment horizontal="center"/>
    </xf>
    <xf numFmtId="167" fontId="0" fillId="3" borderId="0" xfId="1" applyNumberFormat="1" applyFont="1" applyFill="1"/>
    <xf numFmtId="167" fontId="1" fillId="0" borderId="0" xfId="2" applyNumberFormat="1" applyFont="1" applyFill="1" applyBorder="1"/>
    <xf numFmtId="167" fontId="0" fillId="0" borderId="0" xfId="2" applyNumberFormat="1" applyFont="1" applyFill="1" applyBorder="1"/>
    <xf numFmtId="167" fontId="1" fillId="0" borderId="0" xfId="2" applyNumberFormat="1" applyFont="1" applyFill="1" applyBorder="1" applyAlignment="1">
      <alignment horizontal="center"/>
    </xf>
    <xf numFmtId="166" fontId="1" fillId="0" borderId="1" xfId="1" applyNumberFormat="1" applyFont="1" applyFill="1" applyBorder="1"/>
    <xf numFmtId="167" fontId="0" fillId="0" borderId="0" xfId="1" applyNumberFormat="1" applyFont="1" applyFill="1"/>
    <xf numFmtId="167" fontId="1" fillId="0" borderId="0" xfId="2" applyNumberFormat="1" applyFont="1" applyFill="1" applyAlignment="1">
      <alignment horizontal="left" indent="2"/>
    </xf>
    <xf numFmtId="166" fontId="1" fillId="0" borderId="0" xfId="1" applyNumberFormat="1" applyFont="1" applyFill="1" applyBorder="1"/>
    <xf numFmtId="0" fontId="12" fillId="4" borderId="0" xfId="5" applyFont="1" applyFill="1" applyAlignment="1">
      <alignment horizontal="left" vertical="top" wrapText="1"/>
    </xf>
  </cellXfs>
  <cellStyles count="6">
    <cellStyle name="Comma" xfId="1" builtinId="3"/>
    <cellStyle name="Currency" xfId="2" builtinId="4"/>
    <cellStyle name="Normal" xfId="0" builtinId="0"/>
    <cellStyle name="Normal_Financial Highlights" xfId="5"/>
    <cellStyle name="Normal_Key Stats" xfId="4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64"/>
  <sheetViews>
    <sheetView showGridLines="0" defaultGridColor="0" colorId="55" zoomScaleNormal="100" workbookViewId="0">
      <selection activeCell="D54" sqref="D54"/>
    </sheetView>
  </sheetViews>
  <sheetFormatPr defaultRowHeight="15" x14ac:dyDescent="0.25"/>
  <cols>
    <col min="1" max="1" width="5.7109375" customWidth="1"/>
    <col min="2" max="4" width="5.7109375" style="1" customWidth="1"/>
    <col min="5" max="5" width="40.7109375" style="1" customWidth="1"/>
    <col min="6" max="6" width="13.42578125" style="1" customWidth="1"/>
    <col min="7" max="12" width="13.42578125" customWidth="1"/>
    <col min="13" max="13" width="14" customWidth="1"/>
  </cols>
  <sheetData>
    <row r="1" spans="1:13" ht="21" x14ac:dyDescent="0.35">
      <c r="A1" s="11" t="s">
        <v>15</v>
      </c>
      <c r="B1"/>
      <c r="C1"/>
      <c r="D1"/>
      <c r="E1"/>
      <c r="F1"/>
    </row>
    <row r="2" spans="1:13" s="16" customFormat="1" ht="31.5" customHeight="1" x14ac:dyDescent="0.2">
      <c r="A2" s="14"/>
      <c r="B2" s="14"/>
      <c r="C2" s="14"/>
      <c r="D2" s="14"/>
      <c r="E2" s="14"/>
      <c r="F2" s="14" t="s">
        <v>24</v>
      </c>
      <c r="G2" s="14" t="s">
        <v>25</v>
      </c>
      <c r="H2" s="14" t="s">
        <v>26</v>
      </c>
      <c r="I2" s="14" t="s">
        <v>27</v>
      </c>
      <c r="J2" s="15" t="s">
        <v>28</v>
      </c>
      <c r="K2" s="18" t="s">
        <v>29</v>
      </c>
      <c r="L2" s="18" t="s">
        <v>94</v>
      </c>
      <c r="M2" s="18" t="s">
        <v>97</v>
      </c>
    </row>
    <row r="3" spans="1:13" s="12" customFormat="1" x14ac:dyDescent="0.25">
      <c r="B3" s="13" t="s">
        <v>101</v>
      </c>
    </row>
    <row r="4" spans="1:13" x14ac:dyDescent="0.25">
      <c r="B4" s="96"/>
      <c r="C4"/>
      <c r="D4"/>
      <c r="E4"/>
      <c r="G4" s="1"/>
      <c r="H4" s="1"/>
      <c r="I4" s="1"/>
    </row>
    <row r="5" spans="1:13" x14ac:dyDescent="0.25">
      <c r="A5" s="21"/>
      <c r="C5" s="6" t="s">
        <v>10</v>
      </c>
      <c r="D5"/>
      <c r="E5"/>
      <c r="F5" s="35">
        <v>2.29</v>
      </c>
      <c r="G5" s="35">
        <v>1.21</v>
      </c>
      <c r="H5" s="35">
        <v>1.45</v>
      </c>
      <c r="I5" s="35">
        <v>1.17</v>
      </c>
      <c r="J5" s="35">
        <v>1.4</v>
      </c>
      <c r="K5" s="35">
        <v>0.64</v>
      </c>
      <c r="L5" s="35">
        <v>1.19</v>
      </c>
      <c r="M5" s="35">
        <v>1.01</v>
      </c>
    </row>
    <row r="6" spans="1:13" ht="14.25" customHeight="1" x14ac:dyDescent="0.25">
      <c r="A6" s="21"/>
      <c r="C6" s="6" t="s">
        <v>99</v>
      </c>
      <c r="D6"/>
      <c r="E6"/>
      <c r="F6" s="35">
        <f t="shared" ref="F6:K6" si="0">F16*(1-F18)/F7</f>
        <v>-5.4213113416535938E-2</v>
      </c>
      <c r="G6" s="35">
        <f t="shared" si="0"/>
        <v>-5.3574971331675061E-2</v>
      </c>
      <c r="H6" s="35">
        <f t="shared" si="0"/>
        <v>7.4681019678103349E-3</v>
      </c>
      <c r="I6" s="35">
        <f t="shared" si="0"/>
        <v>-9.1490864911499218E-3</v>
      </c>
      <c r="J6" s="35">
        <f t="shared" si="0"/>
        <v>9.0487112416790097E-2</v>
      </c>
      <c r="K6" s="35">
        <f t="shared" si="0"/>
        <v>-7.7337707991563157E-2</v>
      </c>
      <c r="L6" s="35">
        <f>L16*(1-L18)/L7</f>
        <v>2.0529646121396766E-2</v>
      </c>
      <c r="M6" s="35">
        <f>M16*(1-M18)/M7</f>
        <v>-4.7246308882118587E-2</v>
      </c>
    </row>
    <row r="7" spans="1:13" ht="17.25" customHeight="1" x14ac:dyDescent="0.25">
      <c r="A7" s="21"/>
      <c r="C7" t="s">
        <v>100</v>
      </c>
      <c r="D7"/>
      <c r="E7"/>
      <c r="F7" s="65">
        <v>447.3</v>
      </c>
      <c r="G7" s="65">
        <v>447.7</v>
      </c>
      <c r="H7" s="65">
        <v>447.8</v>
      </c>
      <c r="I7" s="65">
        <v>447.9</v>
      </c>
      <c r="J7" s="65">
        <v>444.7</v>
      </c>
      <c r="K7" s="65">
        <v>426.7</v>
      </c>
      <c r="L7" s="65">
        <v>426.7</v>
      </c>
      <c r="M7" s="65">
        <v>426.7</v>
      </c>
    </row>
    <row r="8" spans="1:13" x14ac:dyDescent="0.25">
      <c r="A8" s="22"/>
      <c r="C8"/>
      <c r="D8"/>
      <c r="E8"/>
      <c r="G8" s="1"/>
      <c r="H8" s="1"/>
      <c r="I8" s="1"/>
      <c r="J8" s="1"/>
      <c r="K8" s="1"/>
      <c r="L8" s="1"/>
      <c r="M8" s="1"/>
    </row>
    <row r="9" spans="1:13" x14ac:dyDescent="0.25">
      <c r="A9" s="21"/>
      <c r="C9" s="6" t="s">
        <v>72</v>
      </c>
      <c r="D9"/>
      <c r="E9"/>
      <c r="F9" s="79">
        <v>2674.8</v>
      </c>
      <c r="G9" s="79">
        <v>2214.3000000000002</v>
      </c>
      <c r="H9" s="79">
        <v>2860.4</v>
      </c>
      <c r="I9" s="79">
        <v>3083.3</v>
      </c>
      <c r="J9" s="79">
        <v>3014.5</v>
      </c>
      <c r="K9" s="79">
        <v>2189.5</v>
      </c>
      <c r="L9" s="79">
        <v>2821</v>
      </c>
      <c r="M9" s="79">
        <v>2505</v>
      </c>
    </row>
    <row r="10" spans="1:13" x14ac:dyDescent="0.25">
      <c r="A10" s="22"/>
      <c r="C10"/>
      <c r="D10"/>
      <c r="E10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1"/>
      <c r="C11" s="6" t="s">
        <v>90</v>
      </c>
      <c r="D11"/>
      <c r="E11"/>
      <c r="F11" s="79">
        <v>768.3</v>
      </c>
      <c r="G11" s="79">
        <v>853.6</v>
      </c>
      <c r="H11" s="79">
        <v>995.2</v>
      </c>
      <c r="I11" s="79">
        <v>848.2</v>
      </c>
      <c r="J11" s="79">
        <v>881.2</v>
      </c>
      <c r="K11" s="79">
        <v>521.79999999999995</v>
      </c>
      <c r="L11" s="79">
        <v>834</v>
      </c>
      <c r="M11" s="79">
        <v>747</v>
      </c>
    </row>
    <row r="12" spans="1:13" x14ac:dyDescent="0.25">
      <c r="A12" s="22"/>
      <c r="C12" s="6" t="s">
        <v>86</v>
      </c>
      <c r="D12"/>
      <c r="E12"/>
      <c r="F12" s="80">
        <f>768.3/2674.8</f>
        <v>0.28723642889187972</v>
      </c>
      <c r="G12" s="80">
        <f>853.6/2214.3</f>
        <v>0.38549428713363137</v>
      </c>
      <c r="H12" s="80">
        <f>995.2/2860.4</f>
        <v>0.34792336736120821</v>
      </c>
      <c r="I12" s="80">
        <f>848.2/I9</f>
        <v>0.27509486589044208</v>
      </c>
      <c r="J12" s="80">
        <f>881.2/J9</f>
        <v>0.29232045115276167</v>
      </c>
      <c r="K12" s="80">
        <f>521.8/K9</f>
        <v>0.23831925097054119</v>
      </c>
      <c r="L12" s="80">
        <f>L11/L9</f>
        <v>0.29563984402694082</v>
      </c>
      <c r="M12" s="80">
        <f>M11/M9</f>
        <v>0.29820359281437125</v>
      </c>
    </row>
    <row r="13" spans="1:13" x14ac:dyDescent="0.25">
      <c r="A13" s="22"/>
      <c r="C13"/>
      <c r="D13"/>
      <c r="E13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21"/>
      <c r="C14" s="6" t="s">
        <v>92</v>
      </c>
      <c r="D14"/>
      <c r="E14"/>
      <c r="F14" s="79">
        <v>89.3</v>
      </c>
      <c r="G14" s="79">
        <v>83.6</v>
      </c>
      <c r="H14" s="79">
        <v>111.5</v>
      </c>
      <c r="I14" s="79">
        <v>101.1</v>
      </c>
      <c r="J14" s="79">
        <v>100.6</v>
      </c>
      <c r="K14" s="79">
        <v>91.3</v>
      </c>
      <c r="L14" s="79">
        <v>117</v>
      </c>
      <c r="M14" s="79">
        <v>112</v>
      </c>
    </row>
    <row r="15" spans="1:13" x14ac:dyDescent="0.25">
      <c r="A15" s="21"/>
      <c r="C15" s="6"/>
      <c r="D15"/>
      <c r="E15"/>
      <c r="F15" s="79"/>
      <c r="G15" s="79"/>
      <c r="H15" s="79"/>
      <c r="I15" s="79"/>
      <c r="J15" s="79"/>
      <c r="K15" s="79"/>
      <c r="L15" s="79"/>
      <c r="M15" s="79"/>
    </row>
    <row r="16" spans="1:13" x14ac:dyDescent="0.25">
      <c r="A16" s="21"/>
      <c r="C16" s="6" t="s">
        <v>93</v>
      </c>
      <c r="D16"/>
      <c r="E16"/>
      <c r="F16" s="79">
        <v>-30.9</v>
      </c>
      <c r="G16" s="79">
        <v>-31.7</v>
      </c>
      <c r="H16" s="79">
        <v>4.3</v>
      </c>
      <c r="I16" s="79">
        <v>-5.7</v>
      </c>
      <c r="J16" s="79">
        <v>55.1</v>
      </c>
      <c r="K16" s="79">
        <v>-44</v>
      </c>
      <c r="L16" s="79">
        <v>12</v>
      </c>
      <c r="M16" s="79">
        <v>-28</v>
      </c>
    </row>
    <row r="17" spans="1:13" x14ac:dyDescent="0.25">
      <c r="A17" s="22"/>
      <c r="C17"/>
      <c r="D17"/>
      <c r="E17"/>
      <c r="F17" s="7"/>
      <c r="G17" s="7"/>
      <c r="H17" s="7"/>
      <c r="I17" s="7"/>
      <c r="J17" s="7"/>
      <c r="K17" s="7"/>
      <c r="L17" s="7"/>
      <c r="M17" s="7"/>
    </row>
    <row r="18" spans="1:13" ht="17.25" x14ac:dyDescent="0.25">
      <c r="A18" s="22"/>
      <c r="C18" s="6" t="s">
        <v>102</v>
      </c>
      <c r="D18"/>
      <c r="E18"/>
      <c r="F18" s="80">
        <f>(281.3)/(1307)</f>
        <v>0.21522570772762051</v>
      </c>
      <c r="G18" s="80">
        <f>175.9/722.8</f>
        <v>0.24335915882678474</v>
      </c>
      <c r="H18" s="80">
        <f>186/836.8</f>
        <v>0.22227533460803062</v>
      </c>
      <c r="I18" s="80">
        <f>205.1/729.7</f>
        <v>0.28107441414279838</v>
      </c>
      <c r="J18" s="80">
        <f>230.7/855.4</f>
        <v>0.26969838671966329</v>
      </c>
      <c r="K18" s="80">
        <v>0.25</v>
      </c>
      <c r="L18" s="80">
        <v>0.27</v>
      </c>
      <c r="M18" s="80">
        <v>0.28000000000000003</v>
      </c>
    </row>
    <row r="19" spans="1:13" x14ac:dyDescent="0.25">
      <c r="A19" s="22"/>
      <c r="C19" s="6"/>
      <c r="D19"/>
      <c r="E19"/>
      <c r="F19" s="80"/>
      <c r="G19" s="80"/>
      <c r="H19" s="80"/>
      <c r="I19" s="80"/>
      <c r="J19" s="80"/>
      <c r="K19" s="80"/>
      <c r="L19" s="80"/>
      <c r="M19" s="80"/>
    </row>
    <row r="20" spans="1:13" x14ac:dyDescent="0.25">
      <c r="A20" s="21"/>
      <c r="C20" s="6" t="s">
        <v>91</v>
      </c>
      <c r="D20"/>
      <c r="E20"/>
      <c r="F20" s="79">
        <v>1025.5999999999999</v>
      </c>
      <c r="G20" s="79">
        <v>542.1</v>
      </c>
      <c r="H20" s="79">
        <v>649.20000000000005</v>
      </c>
      <c r="I20" s="79">
        <v>526</v>
      </c>
      <c r="J20" s="79">
        <v>623.6</v>
      </c>
      <c r="K20" s="79">
        <v>273.3</v>
      </c>
      <c r="L20" s="79">
        <v>507</v>
      </c>
      <c r="M20" s="79">
        <v>429</v>
      </c>
    </row>
    <row r="21" spans="1:13" x14ac:dyDescent="0.25">
      <c r="A21" s="22"/>
      <c r="C21" s="6" t="s">
        <v>85</v>
      </c>
      <c r="D21"/>
      <c r="E21"/>
      <c r="F21" s="80">
        <f>1025.6/2674.8</f>
        <v>0.38343053686256912</v>
      </c>
      <c r="G21" s="80">
        <f>542.1/2214.3</f>
        <v>0.24481777536919117</v>
      </c>
      <c r="H21" s="80">
        <f>649.2/2860.4</f>
        <v>0.22696126415885892</v>
      </c>
      <c r="I21" s="80">
        <f>526/I9</f>
        <v>0.17059643888042031</v>
      </c>
      <c r="J21" s="80">
        <f>623.6/J9</f>
        <v>0.20686681041632113</v>
      </c>
      <c r="K21" s="80">
        <f>273.3/K9</f>
        <v>0.12482301895409911</v>
      </c>
      <c r="L21" s="80">
        <f>L20/L9</f>
        <v>0.17972350230414746</v>
      </c>
      <c r="M21" s="80">
        <f>M20/M9</f>
        <v>0.17125748502994012</v>
      </c>
    </row>
    <row r="22" spans="1:13" x14ac:dyDescent="0.25">
      <c r="A22" s="22"/>
      <c r="C22" s="6"/>
      <c r="D22"/>
      <c r="E22"/>
      <c r="F22" s="80"/>
      <c r="G22" s="80"/>
      <c r="H22" s="80"/>
      <c r="I22" s="80"/>
      <c r="J22" s="80"/>
      <c r="K22" s="80"/>
      <c r="L22" s="80"/>
      <c r="M22" s="80"/>
    </row>
    <row r="23" spans="1:13" x14ac:dyDescent="0.25">
      <c r="A23" s="22"/>
      <c r="C23" t="s">
        <v>34</v>
      </c>
      <c r="D23"/>
      <c r="E23"/>
      <c r="F23" s="5">
        <v>1309.1999999999998</v>
      </c>
      <c r="G23" s="5">
        <v>886.7</v>
      </c>
      <c r="H23" s="5">
        <v>833</v>
      </c>
      <c r="I23" s="5">
        <v>825</v>
      </c>
      <c r="J23" s="5">
        <v>1551</v>
      </c>
      <c r="K23" s="5">
        <f>1010.6+81.6+1.1</f>
        <v>1093.3</v>
      </c>
      <c r="L23" s="5">
        <v>1053</v>
      </c>
      <c r="M23" s="5">
        <v>1029</v>
      </c>
    </row>
    <row r="24" spans="1:13" x14ac:dyDescent="0.25">
      <c r="A24" s="22"/>
      <c r="C24" t="s">
        <v>16</v>
      </c>
      <c r="D24"/>
      <c r="E24"/>
      <c r="F24" s="68">
        <v>-3659.4</v>
      </c>
      <c r="G24" s="68">
        <v>-3352.1</v>
      </c>
      <c r="H24" s="68">
        <v>-3906.4</v>
      </c>
      <c r="I24" s="68">
        <v>-4038</v>
      </c>
      <c r="J24" s="68">
        <v>-3628</v>
      </c>
      <c r="K24" s="68">
        <v>-3202</v>
      </c>
      <c r="L24" s="68">
        <v>-3811</v>
      </c>
      <c r="M24" s="68">
        <v>-3595</v>
      </c>
    </row>
    <row r="25" spans="1:13" x14ac:dyDescent="0.25">
      <c r="A25" s="21"/>
      <c r="C25" s="7" t="s">
        <v>33</v>
      </c>
      <c r="D25"/>
      <c r="E25"/>
      <c r="F25" s="79">
        <f t="shared" ref="F25:K25" si="1">F23+F24</f>
        <v>-2350.2000000000003</v>
      </c>
      <c r="G25" s="79">
        <f t="shared" si="1"/>
        <v>-2465.3999999999996</v>
      </c>
      <c r="H25" s="79">
        <f t="shared" si="1"/>
        <v>-3073.4</v>
      </c>
      <c r="I25" s="79">
        <f t="shared" si="1"/>
        <v>-3213</v>
      </c>
      <c r="J25" s="79">
        <f t="shared" si="1"/>
        <v>-2077</v>
      </c>
      <c r="K25" s="79">
        <f t="shared" si="1"/>
        <v>-2108.6999999999998</v>
      </c>
      <c r="L25" s="79">
        <f t="shared" ref="L25:M25" si="2">L23+L24</f>
        <v>-2758</v>
      </c>
      <c r="M25" s="79">
        <f t="shared" si="2"/>
        <v>-2566</v>
      </c>
    </row>
    <row r="26" spans="1:13" x14ac:dyDescent="0.25">
      <c r="A26" s="22"/>
      <c r="C26"/>
      <c r="D26"/>
      <c r="E26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1"/>
      <c r="C27" t="s">
        <v>0</v>
      </c>
      <c r="D27"/>
      <c r="E27"/>
      <c r="F27" s="5">
        <v>531.70000000000005</v>
      </c>
      <c r="G27" s="5">
        <v>365.9</v>
      </c>
      <c r="H27" s="5">
        <v>973</v>
      </c>
      <c r="I27" s="5">
        <v>554</v>
      </c>
      <c r="J27" s="5">
        <v>518</v>
      </c>
      <c r="K27" s="5">
        <v>404.5</v>
      </c>
      <c r="L27" s="5">
        <v>1229.3</v>
      </c>
      <c r="M27" s="5">
        <v>339</v>
      </c>
    </row>
    <row r="28" spans="1:13" x14ac:dyDescent="0.25">
      <c r="A28" s="21"/>
      <c r="C28" t="s">
        <v>1</v>
      </c>
      <c r="D28"/>
      <c r="E28"/>
      <c r="F28" s="4">
        <v>740</v>
      </c>
      <c r="G28" s="4">
        <v>-271.60000000000002</v>
      </c>
      <c r="H28" s="4">
        <v>-359</v>
      </c>
      <c r="I28" s="4">
        <v>-392.5</v>
      </c>
      <c r="J28" s="4">
        <v>-384.6</v>
      </c>
      <c r="K28" s="4">
        <v>-404.7</v>
      </c>
      <c r="L28" s="4">
        <v>-446</v>
      </c>
      <c r="M28" s="4">
        <v>-444</v>
      </c>
    </row>
    <row r="29" spans="1:13" x14ac:dyDescent="0.25">
      <c r="A29" s="21"/>
      <c r="C29" t="s">
        <v>2</v>
      </c>
      <c r="D29"/>
      <c r="E29"/>
      <c r="F29" s="4">
        <v>-30.2</v>
      </c>
      <c r="G29" s="4">
        <v>-452.4</v>
      </c>
      <c r="H29" s="4">
        <v>-69</v>
      </c>
      <c r="I29" s="4">
        <v>-28.8</v>
      </c>
      <c r="J29" s="4">
        <v>-460.4</v>
      </c>
      <c r="K29" s="4">
        <v>-479.9</v>
      </c>
      <c r="L29" s="4">
        <v>-92</v>
      </c>
      <c r="M29" s="4">
        <v>-132</v>
      </c>
    </row>
    <row r="30" spans="1:13" x14ac:dyDescent="0.25">
      <c r="A30" s="21"/>
      <c r="C30" t="s">
        <v>9</v>
      </c>
      <c r="D30"/>
      <c r="E30"/>
      <c r="F30" s="10">
        <v>55.2</v>
      </c>
      <c r="G30" s="10">
        <v>50.8</v>
      </c>
      <c r="H30" s="10">
        <v>9.6999999999999993</v>
      </c>
      <c r="I30" s="10">
        <v>-1.4</v>
      </c>
      <c r="J30" s="10">
        <v>-83.4</v>
      </c>
      <c r="K30" s="10">
        <v>54.4</v>
      </c>
      <c r="L30" s="10">
        <v>-82</v>
      </c>
      <c r="M30" s="10">
        <v>21</v>
      </c>
    </row>
    <row r="31" spans="1:13" x14ac:dyDescent="0.25">
      <c r="A31" s="21"/>
      <c r="C31" s="6" t="s">
        <v>3</v>
      </c>
      <c r="D31"/>
      <c r="E31"/>
      <c r="F31" s="79">
        <f t="shared" ref="F31:K31" si="3">F27+F28+F29+F30</f>
        <v>1296.7</v>
      </c>
      <c r="G31" s="79">
        <f t="shared" si="3"/>
        <v>-307.3</v>
      </c>
      <c r="H31" s="79">
        <f t="shared" si="3"/>
        <v>554.70000000000005</v>
      </c>
      <c r="I31" s="79">
        <f t="shared" si="3"/>
        <v>131.29999999999998</v>
      </c>
      <c r="J31" s="79">
        <f t="shared" si="3"/>
        <v>-410.4</v>
      </c>
      <c r="K31" s="79">
        <f t="shared" si="3"/>
        <v>-425.7</v>
      </c>
      <c r="L31" s="79">
        <f t="shared" ref="L31" si="4">L27+L28+L29+L30</f>
        <v>609.29999999999995</v>
      </c>
      <c r="M31" s="79">
        <f>M27+M28+M29+M30</f>
        <v>-216</v>
      </c>
    </row>
    <row r="32" spans="1:13" x14ac:dyDescent="0.25">
      <c r="A32" s="22"/>
      <c r="C32"/>
      <c r="D32"/>
      <c r="E3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21"/>
      <c r="C33" s="6" t="s">
        <v>4</v>
      </c>
      <c r="D33"/>
      <c r="E33"/>
      <c r="F33" s="79">
        <v>-22.3</v>
      </c>
      <c r="G33" s="79">
        <v>-22.4</v>
      </c>
      <c r="H33" s="79">
        <v>-22.3</v>
      </c>
      <c r="I33" s="79">
        <v>-22.4</v>
      </c>
      <c r="J33" s="79">
        <v>-22.3</v>
      </c>
      <c r="K33" s="79">
        <v>-21.4</v>
      </c>
      <c r="L33" s="79">
        <v>-53</v>
      </c>
      <c r="M33" s="79">
        <v>-107</v>
      </c>
    </row>
    <row r="34" spans="1:13" x14ac:dyDescent="0.25">
      <c r="A34" s="21"/>
      <c r="C34" s="6" t="s">
        <v>88</v>
      </c>
      <c r="D34"/>
      <c r="E34"/>
      <c r="F34" s="79">
        <v>0</v>
      </c>
      <c r="G34" s="79">
        <v>0</v>
      </c>
      <c r="H34" s="79">
        <v>0</v>
      </c>
      <c r="I34" s="79">
        <v>0</v>
      </c>
      <c r="J34" s="79">
        <v>-1162.5</v>
      </c>
      <c r="K34" s="79">
        <v>0</v>
      </c>
      <c r="L34" s="79">
        <v>0</v>
      </c>
      <c r="M34" s="79">
        <v>0</v>
      </c>
    </row>
    <row r="35" spans="1:13" x14ac:dyDescent="0.25">
      <c r="B35"/>
      <c r="C35"/>
      <c r="D35"/>
      <c r="E35"/>
      <c r="G35" s="1"/>
      <c r="H35" s="1"/>
      <c r="I35" s="1"/>
      <c r="J35" s="1"/>
      <c r="K35" s="1"/>
      <c r="L35" s="1"/>
      <c r="M35" s="1"/>
    </row>
    <row r="36" spans="1:13" x14ac:dyDescent="0.25">
      <c r="C36" t="s">
        <v>20</v>
      </c>
      <c r="D36"/>
      <c r="E36"/>
      <c r="F36"/>
      <c r="M36" s="1"/>
    </row>
    <row r="37" spans="1:13" x14ac:dyDescent="0.25">
      <c r="B37"/>
      <c r="D37" t="s">
        <v>5</v>
      </c>
      <c r="E37"/>
      <c r="F37" s="27">
        <v>251.5</v>
      </c>
      <c r="G37" s="27">
        <v>413.9</v>
      </c>
      <c r="H37" s="27">
        <v>469.2</v>
      </c>
      <c r="I37" s="27">
        <v>402</v>
      </c>
      <c r="J37" s="27">
        <v>358</v>
      </c>
      <c r="K37" s="27">
        <v>233.9</v>
      </c>
      <c r="L37" s="27">
        <v>464</v>
      </c>
      <c r="M37" s="5">
        <v>416</v>
      </c>
    </row>
    <row r="38" spans="1:13" x14ac:dyDescent="0.25">
      <c r="B38"/>
      <c r="D38" t="s">
        <v>17</v>
      </c>
      <c r="E38"/>
      <c r="F38" s="27">
        <v>402.3</v>
      </c>
      <c r="G38" s="27">
        <v>371.8</v>
      </c>
      <c r="H38" s="27">
        <v>369.9</v>
      </c>
      <c r="I38" s="27">
        <v>333</v>
      </c>
      <c r="J38" s="27">
        <v>432</v>
      </c>
      <c r="K38" s="27">
        <v>190.2</v>
      </c>
      <c r="L38" s="27">
        <v>224</v>
      </c>
      <c r="M38" s="5">
        <v>208</v>
      </c>
    </row>
    <row r="39" spans="1:13" ht="17.25" x14ac:dyDescent="0.25">
      <c r="B39"/>
      <c r="D39" t="s">
        <v>104</v>
      </c>
      <c r="E39"/>
      <c r="F39" s="27">
        <v>4.4000000000000004</v>
      </c>
      <c r="G39" s="27">
        <v>-14.9</v>
      </c>
      <c r="H39" s="27">
        <v>-14.2</v>
      </c>
      <c r="I39" s="27">
        <v>-6</v>
      </c>
      <c r="J39" s="27">
        <v>8</v>
      </c>
      <c r="K39" s="27">
        <v>-10.4</v>
      </c>
      <c r="L39" s="27">
        <v>-17</v>
      </c>
      <c r="M39" s="5">
        <v>-14</v>
      </c>
    </row>
    <row r="40" spans="1:13" x14ac:dyDescent="0.25">
      <c r="C40" s="6" t="s">
        <v>23</v>
      </c>
      <c r="D40"/>
      <c r="E40"/>
      <c r="F40" s="66">
        <f t="shared" ref="F40:K40" si="5">SUM(F37:F39)</f>
        <v>658.19999999999993</v>
      </c>
      <c r="G40" s="66">
        <f t="shared" si="5"/>
        <v>770.80000000000007</v>
      </c>
      <c r="H40" s="66">
        <f t="shared" si="5"/>
        <v>824.89999999999986</v>
      </c>
      <c r="I40" s="66">
        <f t="shared" si="5"/>
        <v>729</v>
      </c>
      <c r="J40" s="66">
        <f t="shared" si="5"/>
        <v>798</v>
      </c>
      <c r="K40" s="66">
        <f t="shared" si="5"/>
        <v>413.70000000000005</v>
      </c>
      <c r="L40" s="66">
        <f t="shared" ref="L40:M40" si="6">SUM(L37:L39)</f>
        <v>671</v>
      </c>
      <c r="M40" s="79">
        <f t="shared" si="6"/>
        <v>610</v>
      </c>
    </row>
    <row r="41" spans="1:13" x14ac:dyDescent="0.25">
      <c r="B41"/>
      <c r="C41"/>
      <c r="D41"/>
      <c r="E41"/>
      <c r="F41" s="5"/>
      <c r="G41" s="5"/>
      <c r="H41" s="5"/>
      <c r="I41" s="5"/>
      <c r="J41" s="5"/>
      <c r="K41" s="5"/>
      <c r="L41" s="5"/>
      <c r="M41" s="5"/>
    </row>
    <row r="42" spans="1:13" s="12" customFormat="1" x14ac:dyDescent="0.25">
      <c r="B42" s="13" t="s">
        <v>105</v>
      </c>
    </row>
    <row r="43" spans="1:13" x14ac:dyDescent="0.25">
      <c r="D43"/>
      <c r="E43"/>
      <c r="G43" s="1"/>
      <c r="H43" s="1"/>
      <c r="I43" s="1"/>
      <c r="J43" s="1"/>
      <c r="K43" s="1"/>
      <c r="L43" s="1"/>
      <c r="M43" s="1"/>
    </row>
    <row r="44" spans="1:13" x14ac:dyDescent="0.25">
      <c r="A44" s="34"/>
      <c r="C44" s="6" t="s">
        <v>17</v>
      </c>
      <c r="D44"/>
      <c r="E44"/>
      <c r="G44" s="1"/>
      <c r="H44" s="1"/>
      <c r="I44" s="1"/>
      <c r="J44" s="1"/>
      <c r="K44" s="1"/>
      <c r="L44" s="1"/>
      <c r="M44" s="1"/>
    </row>
    <row r="45" spans="1:13" ht="17.25" x14ac:dyDescent="0.25">
      <c r="A45" s="21"/>
      <c r="C45"/>
      <c r="D45" t="s">
        <v>106</v>
      </c>
      <c r="E45"/>
      <c r="F45" s="4">
        <v>3673</v>
      </c>
      <c r="G45" s="4">
        <v>2371.2080000000001</v>
      </c>
      <c r="H45" s="4">
        <v>2840.6840000000002</v>
      </c>
      <c r="I45" s="4">
        <v>3158</v>
      </c>
      <c r="J45" s="4">
        <v>3196</v>
      </c>
      <c r="K45" s="4">
        <v>2591</v>
      </c>
      <c r="L45" s="4">
        <v>2890</v>
      </c>
      <c r="M45" s="4">
        <f>+'Publish Phosphates'!L33</f>
        <v>2662</v>
      </c>
    </row>
    <row r="46" spans="1:13" ht="17.25" x14ac:dyDescent="0.25">
      <c r="A46" s="21"/>
      <c r="D46" t="s">
        <v>107</v>
      </c>
      <c r="E46"/>
      <c r="F46" s="5">
        <v>461</v>
      </c>
      <c r="G46" s="5">
        <v>543</v>
      </c>
      <c r="H46" s="5">
        <v>574</v>
      </c>
      <c r="I46" s="5">
        <v>576</v>
      </c>
      <c r="J46" s="5">
        <v>611</v>
      </c>
      <c r="K46" s="5">
        <v>536</v>
      </c>
      <c r="L46" s="5">
        <v>494</v>
      </c>
      <c r="M46" s="5">
        <f>+'Publish Phosphates'!L40</f>
        <v>529</v>
      </c>
    </row>
    <row r="47" spans="1:13" x14ac:dyDescent="0.25">
      <c r="A47" s="21"/>
      <c r="D47"/>
      <c r="E47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34"/>
      <c r="C48"/>
      <c r="D48" t="s">
        <v>32</v>
      </c>
      <c r="E48"/>
      <c r="F48" s="5">
        <v>1974</v>
      </c>
      <c r="G48" s="5">
        <v>1458</v>
      </c>
      <c r="H48" s="5">
        <v>1882.2</v>
      </c>
      <c r="I48" s="5">
        <v>2219.8000000000002</v>
      </c>
      <c r="J48" s="5">
        <v>2178.8000000000002</v>
      </c>
      <c r="K48" s="5">
        <v>1652</v>
      </c>
      <c r="L48" s="5">
        <v>1789</v>
      </c>
      <c r="M48" s="5">
        <f>+'Publish Phosphates'!L6</f>
        <v>1561</v>
      </c>
    </row>
    <row r="49" spans="1:13" x14ac:dyDescent="0.25">
      <c r="A49" s="21"/>
      <c r="D49" t="s">
        <v>30</v>
      </c>
      <c r="E49"/>
      <c r="F49" s="5">
        <v>476.29999999999995</v>
      </c>
      <c r="G49" s="5">
        <v>454.20000000000005</v>
      </c>
      <c r="H49" s="5">
        <v>479.20000000000005</v>
      </c>
      <c r="I49" s="5">
        <v>409.59999999999991</v>
      </c>
      <c r="J49" s="5">
        <v>475.70000000000005</v>
      </c>
      <c r="K49" s="5">
        <v>259.40000000000009</v>
      </c>
      <c r="L49" s="5">
        <v>322</v>
      </c>
      <c r="M49" s="5">
        <f>+'Publish Phosphates'!L8</f>
        <v>288</v>
      </c>
    </row>
    <row r="50" spans="1:13" x14ac:dyDescent="0.25">
      <c r="A50" s="21"/>
      <c r="D50" t="s">
        <v>31</v>
      </c>
      <c r="E50"/>
      <c r="F50" s="2">
        <f t="shared" ref="F50:K50" si="7">F49/F48</f>
        <v>0.24128672745694019</v>
      </c>
      <c r="G50" s="2">
        <f t="shared" si="7"/>
        <v>0.311522633744856</v>
      </c>
      <c r="H50" s="2">
        <f t="shared" si="7"/>
        <v>0.25459568589947934</v>
      </c>
      <c r="I50" s="2">
        <f t="shared" si="7"/>
        <v>0.18452112802955214</v>
      </c>
      <c r="J50" s="2">
        <f t="shared" si="7"/>
        <v>0.21833119148154947</v>
      </c>
      <c r="K50" s="2">
        <f t="shared" si="7"/>
        <v>0.15702179176755454</v>
      </c>
      <c r="L50" s="2">
        <f t="shared" ref="L50:M50" si="8">L49/L48</f>
        <v>0.17998882057015092</v>
      </c>
      <c r="M50" s="2">
        <f t="shared" si="8"/>
        <v>0.18449711723254325</v>
      </c>
    </row>
    <row r="51" spans="1:13" x14ac:dyDescent="0.25">
      <c r="A51" s="34"/>
      <c r="C51"/>
      <c r="D51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34"/>
      <c r="C52" s="6" t="s">
        <v>5</v>
      </c>
      <c r="D52"/>
      <c r="E52"/>
      <c r="F52" s="9"/>
      <c r="G52" s="9"/>
      <c r="H52" s="9"/>
      <c r="I52" s="9"/>
      <c r="J52" s="9"/>
      <c r="K52" s="9"/>
      <c r="L52" s="9"/>
      <c r="M52" s="9"/>
    </row>
    <row r="53" spans="1:13" ht="17.25" x14ac:dyDescent="0.25">
      <c r="A53" s="21"/>
      <c r="D53" t="s">
        <v>108</v>
      </c>
      <c r="E53"/>
      <c r="F53" s="4">
        <v>1802</v>
      </c>
      <c r="G53" s="4">
        <v>1863</v>
      </c>
      <c r="H53" s="4">
        <v>2180</v>
      </c>
      <c r="I53" s="4">
        <v>1820</v>
      </c>
      <c r="J53" s="4">
        <v>1759.8999999999999</v>
      </c>
      <c r="K53" s="4">
        <v>1091</v>
      </c>
      <c r="L53" s="4">
        <v>2049</v>
      </c>
      <c r="M53" s="4">
        <f>+'Publish Potash'!M33</f>
        <v>1931</v>
      </c>
    </row>
    <row r="54" spans="1:13" ht="17.25" x14ac:dyDescent="0.25">
      <c r="A54" s="21"/>
      <c r="D54" t="s">
        <v>109</v>
      </c>
      <c r="E54"/>
      <c r="F54" s="5">
        <v>331</v>
      </c>
      <c r="G54" s="5">
        <v>358</v>
      </c>
      <c r="H54" s="5">
        <v>404</v>
      </c>
      <c r="I54" s="5">
        <v>446</v>
      </c>
      <c r="J54" s="5">
        <v>440</v>
      </c>
      <c r="K54" s="5">
        <v>453</v>
      </c>
      <c r="L54" s="5">
        <v>455</v>
      </c>
      <c r="M54" s="5">
        <f>+'Publish Potash'!M42</f>
        <v>444</v>
      </c>
    </row>
    <row r="55" spans="1:13" x14ac:dyDescent="0.25">
      <c r="A55" s="21"/>
      <c r="M55" s="1"/>
    </row>
    <row r="56" spans="1:13" x14ac:dyDescent="0.25">
      <c r="A56" s="21"/>
      <c r="D56" t="s">
        <v>32</v>
      </c>
      <c r="E56"/>
      <c r="F56" s="67">
        <v>699</v>
      </c>
      <c r="G56" s="67">
        <v>757.7</v>
      </c>
      <c r="H56" s="67">
        <v>982</v>
      </c>
      <c r="I56" s="67">
        <v>873</v>
      </c>
      <c r="J56" s="67">
        <v>838.6</v>
      </c>
      <c r="K56" s="67">
        <v>553</v>
      </c>
      <c r="L56" s="67">
        <v>1037</v>
      </c>
      <c r="M56" s="114">
        <f>+'Publish Potash'!M6</f>
        <v>960</v>
      </c>
    </row>
    <row r="57" spans="1:13" x14ac:dyDescent="0.25">
      <c r="A57" s="34"/>
      <c r="D57" t="s">
        <v>30</v>
      </c>
      <c r="E57"/>
      <c r="F57" s="5">
        <v>285.2</v>
      </c>
      <c r="G57" s="5">
        <v>411.6</v>
      </c>
      <c r="H57" s="5">
        <v>516</v>
      </c>
      <c r="I57" s="5">
        <v>444.4</v>
      </c>
      <c r="J57" s="5">
        <v>393.7</v>
      </c>
      <c r="K57" s="5">
        <v>269.59999999999997</v>
      </c>
      <c r="L57" s="5">
        <v>514</v>
      </c>
      <c r="M57" s="5">
        <f>+'Publish Potash'!M8</f>
        <v>459</v>
      </c>
    </row>
    <row r="58" spans="1:13" x14ac:dyDescent="0.25">
      <c r="C58"/>
      <c r="D58" t="s">
        <v>31</v>
      </c>
      <c r="E58"/>
      <c r="F58" s="2">
        <f t="shared" ref="F58:K58" si="9">F57/F56</f>
        <v>0.40801144492131614</v>
      </c>
      <c r="G58" s="2">
        <f t="shared" si="9"/>
        <v>0.54322291144252344</v>
      </c>
      <c r="H58" s="2">
        <f t="shared" si="9"/>
        <v>0.52545824847250511</v>
      </c>
      <c r="I58" s="2">
        <f t="shared" si="9"/>
        <v>0.50904925544100799</v>
      </c>
      <c r="J58" s="2">
        <f t="shared" si="9"/>
        <v>0.46947293107560217</v>
      </c>
      <c r="K58" s="2">
        <f t="shared" si="9"/>
        <v>0.48752260397830011</v>
      </c>
      <c r="L58" s="2">
        <f t="shared" ref="L58:M58" si="10">L57/L56</f>
        <v>0.49566055930568947</v>
      </c>
      <c r="M58" s="2">
        <f t="shared" si="10"/>
        <v>0.47812500000000002</v>
      </c>
    </row>
    <row r="59" spans="1:13" x14ac:dyDescent="0.25"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1"/>
      <c r="D60"/>
      <c r="E60"/>
      <c r="F60" s="37"/>
      <c r="G60" s="37"/>
      <c r="H60" s="37"/>
      <c r="I60" s="1"/>
    </row>
    <row r="61" spans="1:13" x14ac:dyDescent="0.25">
      <c r="A61" s="1"/>
      <c r="D61"/>
      <c r="E61"/>
      <c r="F61"/>
    </row>
    <row r="62" spans="1:13" x14ac:dyDescent="0.25">
      <c r="A62" s="1"/>
      <c r="D62"/>
      <c r="E62"/>
      <c r="F62"/>
    </row>
    <row r="63" spans="1:13" x14ac:dyDescent="0.25">
      <c r="A63" s="1"/>
      <c r="F63"/>
    </row>
    <row r="64" spans="1:13" x14ac:dyDescent="0.25">
      <c r="A64" s="1"/>
      <c r="F64"/>
    </row>
  </sheetData>
  <pageMargins left="0.7" right="0.7" top="0.51" bottom="0.46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65"/>
  <sheetViews>
    <sheetView showGridLines="0" tabSelected="1" defaultGridColor="0" colorId="55" zoomScaleNormal="100" workbookViewId="0">
      <pane xSplit="5" ySplit="3" topLeftCell="F4" activePane="bottomRight" state="frozen"/>
      <selection activeCell="M18" sqref="M18"/>
      <selection pane="topRight" activeCell="M18" sqref="M18"/>
      <selection pane="bottomLeft" activeCell="M18" sqref="M18"/>
      <selection pane="bottomRight" activeCell="P19" sqref="P19"/>
    </sheetView>
  </sheetViews>
  <sheetFormatPr defaultRowHeight="15" x14ac:dyDescent="0.25"/>
  <cols>
    <col min="1" max="1" width="3.7109375" customWidth="1"/>
    <col min="2" max="3" width="5.7109375" customWidth="1"/>
    <col min="4" max="4" width="7.5703125" customWidth="1"/>
    <col min="5" max="5" width="32" customWidth="1"/>
    <col min="6" max="12" width="10" customWidth="1"/>
    <col min="13" max="13" width="11.85546875" bestFit="1" customWidth="1"/>
  </cols>
  <sheetData>
    <row r="1" spans="1:13" ht="21" x14ac:dyDescent="0.35">
      <c r="A1" s="11" t="s">
        <v>5</v>
      </c>
    </row>
    <row r="2" spans="1:13" x14ac:dyDescent="0.25">
      <c r="K2" s="20"/>
      <c r="L2" s="20"/>
    </row>
    <row r="3" spans="1:13" s="19" customFormat="1" ht="13.5" customHeight="1" x14ac:dyDescent="0.2">
      <c r="A3" s="17"/>
      <c r="B3" s="17"/>
      <c r="C3" s="17"/>
      <c r="D3" s="17"/>
      <c r="E3" s="17"/>
      <c r="F3" s="14" t="s">
        <v>24</v>
      </c>
      <c r="G3" s="14" t="s">
        <v>25</v>
      </c>
      <c r="H3" s="14" t="s">
        <v>26</v>
      </c>
      <c r="I3" s="14" t="s">
        <v>27</v>
      </c>
      <c r="J3" s="15" t="s">
        <v>28</v>
      </c>
      <c r="K3" s="18" t="s">
        <v>29</v>
      </c>
      <c r="L3" s="18" t="s">
        <v>94</v>
      </c>
      <c r="M3" s="18" t="s">
        <v>97</v>
      </c>
    </row>
    <row r="4" spans="1:13" s="1" customFormat="1" x14ac:dyDescent="0.25">
      <c r="A4" s="12"/>
      <c r="B4" s="13" t="s">
        <v>110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B5" s="6"/>
      <c r="C5" s="6" t="s">
        <v>14</v>
      </c>
      <c r="K5" s="8"/>
      <c r="L5" s="8"/>
      <c r="M5" s="8"/>
    </row>
    <row r="6" spans="1:13" x14ac:dyDescent="0.25">
      <c r="B6" s="6"/>
      <c r="C6" s="6"/>
      <c r="D6" s="6" t="s">
        <v>73</v>
      </c>
      <c r="F6" s="32">
        <v>699</v>
      </c>
      <c r="G6" s="32">
        <v>757.7</v>
      </c>
      <c r="H6" s="32">
        <v>982</v>
      </c>
      <c r="I6" s="32">
        <v>873</v>
      </c>
      <c r="J6" s="32">
        <v>838.6</v>
      </c>
      <c r="K6" s="32">
        <v>553</v>
      </c>
      <c r="L6" s="32">
        <v>1037</v>
      </c>
      <c r="M6" s="32">
        <v>960</v>
      </c>
    </row>
    <row r="7" spans="1:13" x14ac:dyDescent="0.25">
      <c r="A7" s="22"/>
      <c r="D7" t="s">
        <v>35</v>
      </c>
      <c r="E7" s="1"/>
      <c r="F7" s="70">
        <v>413.8</v>
      </c>
      <c r="G7" s="70">
        <v>346.1</v>
      </c>
      <c r="H7" s="70">
        <v>466</v>
      </c>
      <c r="I7" s="70">
        <v>428.6</v>
      </c>
      <c r="J7" s="70">
        <v>444.90000000000003</v>
      </c>
      <c r="K7" s="70">
        <v>283.40000000000003</v>
      </c>
      <c r="L7" s="70">
        <v>523</v>
      </c>
      <c r="M7" s="70">
        <v>501</v>
      </c>
    </row>
    <row r="8" spans="1:13" x14ac:dyDescent="0.25">
      <c r="A8" s="22"/>
      <c r="D8" s="6" t="s">
        <v>36</v>
      </c>
      <c r="E8" s="1"/>
      <c r="F8" s="97">
        <f t="shared" ref="F8:K8" si="0">F6-F7</f>
        <v>285.2</v>
      </c>
      <c r="G8" s="97">
        <f t="shared" si="0"/>
        <v>411.6</v>
      </c>
      <c r="H8" s="97">
        <f t="shared" si="0"/>
        <v>516</v>
      </c>
      <c r="I8" s="97">
        <f t="shared" si="0"/>
        <v>444.4</v>
      </c>
      <c r="J8" s="97">
        <f t="shared" si="0"/>
        <v>393.7</v>
      </c>
      <c r="K8" s="97">
        <f t="shared" si="0"/>
        <v>269.59999999999997</v>
      </c>
      <c r="L8" s="97">
        <f t="shared" ref="L8:M8" si="1">L6-L7</f>
        <v>514</v>
      </c>
      <c r="M8" s="97">
        <f t="shared" si="1"/>
        <v>459</v>
      </c>
    </row>
    <row r="9" spans="1:13" x14ac:dyDescent="0.25">
      <c r="A9" s="22"/>
      <c r="D9" s="95" t="s">
        <v>76</v>
      </c>
      <c r="E9" s="78"/>
      <c r="F9" s="30">
        <f t="shared" ref="F9:K9" si="2">F8/F6</f>
        <v>0.40801144492131614</v>
      </c>
      <c r="G9" s="30">
        <f t="shared" si="2"/>
        <v>0.54322291144252344</v>
      </c>
      <c r="H9" s="30">
        <f t="shared" si="2"/>
        <v>0.52545824847250511</v>
      </c>
      <c r="I9" s="30">
        <f t="shared" si="2"/>
        <v>0.50904925544100799</v>
      </c>
      <c r="J9" s="30">
        <f t="shared" si="2"/>
        <v>0.46947293107560217</v>
      </c>
      <c r="K9" s="30">
        <f t="shared" si="2"/>
        <v>0.48752260397830011</v>
      </c>
      <c r="L9" s="30">
        <f t="shared" ref="L9" si="3">L8/L6</f>
        <v>0.49566055930568947</v>
      </c>
      <c r="M9" s="30">
        <f>M8/M6</f>
        <v>0.47812500000000002</v>
      </c>
    </row>
    <row r="10" spans="1:13" x14ac:dyDescent="0.25">
      <c r="A10" s="22"/>
      <c r="D10" s="77"/>
      <c r="E10" s="78"/>
      <c r="F10" s="69"/>
      <c r="G10" s="69"/>
      <c r="H10" s="69"/>
      <c r="I10" s="69"/>
      <c r="J10" s="69"/>
      <c r="K10" s="73"/>
      <c r="L10" s="73"/>
      <c r="M10" s="73"/>
    </row>
    <row r="11" spans="1:13" x14ac:dyDescent="0.25">
      <c r="A11" s="22"/>
      <c r="D11" t="s">
        <v>37</v>
      </c>
      <c r="E11" s="1"/>
      <c r="F11" s="98">
        <v>68</v>
      </c>
      <c r="G11" s="98">
        <v>40</v>
      </c>
      <c r="H11" s="98">
        <v>91</v>
      </c>
      <c r="I11" s="98">
        <v>80</v>
      </c>
      <c r="J11" s="98">
        <v>50</v>
      </c>
      <c r="K11" s="99">
        <v>48</v>
      </c>
      <c r="L11" s="99">
        <v>80</v>
      </c>
      <c r="M11" s="113">
        <v>70</v>
      </c>
    </row>
    <row r="12" spans="1:13" x14ac:dyDescent="0.25">
      <c r="A12" s="22"/>
      <c r="D12" t="s">
        <v>69</v>
      </c>
      <c r="E12" s="1"/>
      <c r="F12" s="70">
        <v>11</v>
      </c>
      <c r="G12" s="70">
        <v>15</v>
      </c>
      <c r="H12" s="70">
        <v>17</v>
      </c>
      <c r="I12" s="70">
        <v>16</v>
      </c>
      <c r="J12" s="70">
        <v>17</v>
      </c>
      <c r="K12" s="83">
        <v>17</v>
      </c>
      <c r="L12" s="83">
        <v>20</v>
      </c>
      <c r="M12" s="116">
        <v>12</v>
      </c>
    </row>
    <row r="13" spans="1:13" x14ac:dyDescent="0.25">
      <c r="A13" s="22"/>
      <c r="D13" s="6" t="s">
        <v>70</v>
      </c>
      <c r="E13" s="7"/>
      <c r="F13" s="100">
        <f t="shared" ref="F13:K13" si="4">F11+F12</f>
        <v>79</v>
      </c>
      <c r="G13" s="100">
        <f t="shared" si="4"/>
        <v>55</v>
      </c>
      <c r="H13" s="100">
        <f t="shared" si="4"/>
        <v>108</v>
      </c>
      <c r="I13" s="100">
        <f t="shared" si="4"/>
        <v>96</v>
      </c>
      <c r="J13" s="100">
        <f t="shared" si="4"/>
        <v>67</v>
      </c>
      <c r="K13" s="100">
        <f t="shared" si="4"/>
        <v>65</v>
      </c>
      <c r="L13" s="100">
        <f t="shared" ref="L13:M13" si="5">L11+L12</f>
        <v>100</v>
      </c>
      <c r="M13" s="100">
        <f t="shared" si="5"/>
        <v>82</v>
      </c>
    </row>
    <row r="14" spans="1:13" x14ac:dyDescent="0.25">
      <c r="A14" s="22"/>
      <c r="D14" s="6" t="s">
        <v>71</v>
      </c>
      <c r="E14" s="1"/>
      <c r="F14" s="97">
        <f t="shared" ref="F14:K14" si="6">(F8+F13)</f>
        <v>364.2</v>
      </c>
      <c r="G14" s="97">
        <f t="shared" si="6"/>
        <v>466.6</v>
      </c>
      <c r="H14" s="97">
        <f t="shared" si="6"/>
        <v>624</v>
      </c>
      <c r="I14" s="97">
        <f t="shared" si="6"/>
        <v>540.4</v>
      </c>
      <c r="J14" s="97">
        <f t="shared" si="6"/>
        <v>460.7</v>
      </c>
      <c r="K14" s="97">
        <f t="shared" si="6"/>
        <v>334.59999999999997</v>
      </c>
      <c r="L14" s="97">
        <f>(L8+L13)</f>
        <v>614</v>
      </c>
      <c r="M14" s="97">
        <f>(M8+M13)</f>
        <v>541</v>
      </c>
    </row>
    <row r="15" spans="1:13" x14ac:dyDescent="0.25">
      <c r="A15" s="22"/>
      <c r="D15" s="95" t="s">
        <v>76</v>
      </c>
      <c r="E15" s="78"/>
      <c r="F15" s="30">
        <f t="shared" ref="F15:K15" si="7">F14/F6</f>
        <v>0.52103004291845489</v>
      </c>
      <c r="G15" s="30">
        <f t="shared" si="7"/>
        <v>0.61581100699485281</v>
      </c>
      <c r="H15" s="30">
        <f t="shared" si="7"/>
        <v>0.63543788187372707</v>
      </c>
      <c r="I15" s="30">
        <f t="shared" si="7"/>
        <v>0.61901489117983965</v>
      </c>
      <c r="J15" s="30">
        <f t="shared" si="7"/>
        <v>0.54936799427617455</v>
      </c>
      <c r="K15" s="30">
        <f t="shared" si="7"/>
        <v>0.6050632911392404</v>
      </c>
      <c r="L15" s="30">
        <f t="shared" ref="L15:M15" si="8">L14/L6</f>
        <v>0.59209257473481192</v>
      </c>
      <c r="M15" s="30">
        <f t="shared" si="8"/>
        <v>0.56354166666666672</v>
      </c>
    </row>
    <row r="16" spans="1:13" x14ac:dyDescent="0.25">
      <c r="A16" s="22"/>
      <c r="D16" s="71"/>
      <c r="E16" s="1"/>
      <c r="F16" s="72"/>
      <c r="G16" s="72"/>
      <c r="H16" s="72"/>
      <c r="I16" s="72"/>
      <c r="J16" s="72"/>
      <c r="K16" s="72"/>
      <c r="L16" s="72"/>
      <c r="M16" s="72"/>
    </row>
    <row r="17" spans="1:13" ht="15.75" thickBot="1" x14ac:dyDescent="0.3">
      <c r="A17" s="22"/>
      <c r="B17" s="1"/>
      <c r="C17" s="1"/>
      <c r="D17" s="7" t="s">
        <v>20</v>
      </c>
      <c r="E17" s="6"/>
      <c r="F17" s="101">
        <v>251.5</v>
      </c>
      <c r="G17" s="101">
        <v>413.9</v>
      </c>
      <c r="H17" s="101">
        <v>469.2</v>
      </c>
      <c r="I17" s="101">
        <v>402</v>
      </c>
      <c r="J17" s="101">
        <v>357.8</v>
      </c>
      <c r="K17" s="101">
        <v>233.9</v>
      </c>
      <c r="L17" s="101">
        <v>464</v>
      </c>
      <c r="M17" s="101">
        <v>416</v>
      </c>
    </row>
    <row r="18" spans="1:13" ht="15.75" thickTop="1" x14ac:dyDescent="0.25">
      <c r="A18" s="22"/>
      <c r="B18" s="1"/>
      <c r="C18" s="1"/>
      <c r="D18" s="95" t="s">
        <v>76</v>
      </c>
      <c r="F18" s="31">
        <f t="shared" ref="F18:K18" si="9">F17/F6</f>
        <v>0.35979971387696708</v>
      </c>
      <c r="G18" s="31">
        <f t="shared" si="9"/>
        <v>0.54625841362016625</v>
      </c>
      <c r="H18" s="31">
        <f t="shared" si="9"/>
        <v>0.47780040733197554</v>
      </c>
      <c r="I18" s="31">
        <f t="shared" si="9"/>
        <v>0.46048109965635736</v>
      </c>
      <c r="J18" s="31">
        <f t="shared" si="9"/>
        <v>0.42666348676365373</v>
      </c>
      <c r="K18" s="31">
        <f t="shared" si="9"/>
        <v>0.42296564195298375</v>
      </c>
      <c r="L18" s="31">
        <f t="shared" ref="L18:M18" si="10">L17/L6</f>
        <v>0.44744455159112828</v>
      </c>
      <c r="M18" s="31">
        <f t="shared" si="10"/>
        <v>0.43333333333333335</v>
      </c>
    </row>
    <row r="19" spans="1:13" x14ac:dyDescent="0.25">
      <c r="A19" s="22"/>
      <c r="B19" s="1"/>
      <c r="C19" s="1"/>
      <c r="D19" s="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13"/>
      <c r="B20" s="13" t="s">
        <v>111</v>
      </c>
      <c r="C20" s="12"/>
      <c r="D20" s="12"/>
      <c r="E20" s="24"/>
      <c r="F20" s="53"/>
      <c r="G20" s="53"/>
      <c r="H20" s="53"/>
      <c r="I20" s="53"/>
      <c r="J20" s="54"/>
      <c r="K20" s="54"/>
      <c r="L20" s="54"/>
      <c r="M20" s="54"/>
    </row>
    <row r="21" spans="1:13" x14ac:dyDescent="0.25">
      <c r="A21" s="22"/>
      <c r="C21" s="6" t="s">
        <v>19</v>
      </c>
      <c r="D21" s="6"/>
      <c r="F21" s="55"/>
      <c r="G21" s="55"/>
      <c r="H21" s="55"/>
      <c r="I21" s="55"/>
      <c r="J21" s="55"/>
      <c r="K21" s="56"/>
      <c r="L21" s="56"/>
      <c r="M21" s="56"/>
    </row>
    <row r="22" spans="1:13" x14ac:dyDescent="0.25">
      <c r="A22" s="21"/>
      <c r="E22" t="s">
        <v>8</v>
      </c>
      <c r="F22" s="102">
        <f t="shared" ref="F22:K22" si="11">F11</f>
        <v>68</v>
      </c>
      <c r="G22" s="102">
        <f t="shared" si="11"/>
        <v>40</v>
      </c>
      <c r="H22" s="102">
        <f t="shared" si="11"/>
        <v>91</v>
      </c>
      <c r="I22" s="102">
        <f t="shared" si="11"/>
        <v>80</v>
      </c>
      <c r="J22" s="102">
        <f t="shared" si="11"/>
        <v>50</v>
      </c>
      <c r="K22" s="102">
        <f t="shared" si="11"/>
        <v>48</v>
      </c>
      <c r="L22" s="102">
        <f t="shared" ref="L22:M22" si="12">L11</f>
        <v>80</v>
      </c>
      <c r="M22" s="118">
        <f t="shared" si="12"/>
        <v>70</v>
      </c>
    </row>
    <row r="23" spans="1:13" x14ac:dyDescent="0.25">
      <c r="A23" s="22"/>
      <c r="E23" t="s">
        <v>69</v>
      </c>
      <c r="F23" s="94">
        <f t="shared" ref="F23:K23" si="13">F12</f>
        <v>11</v>
      </c>
      <c r="G23" s="94">
        <f t="shared" si="13"/>
        <v>15</v>
      </c>
      <c r="H23" s="94">
        <f t="shared" si="13"/>
        <v>17</v>
      </c>
      <c r="I23" s="94">
        <f t="shared" si="13"/>
        <v>16</v>
      </c>
      <c r="J23" s="94">
        <f t="shared" si="13"/>
        <v>17</v>
      </c>
      <c r="K23" s="94">
        <f t="shared" si="13"/>
        <v>17</v>
      </c>
      <c r="L23" s="94">
        <f t="shared" ref="L23:M23" si="14">L12</f>
        <v>20</v>
      </c>
      <c r="M23" s="119">
        <f t="shared" si="14"/>
        <v>12</v>
      </c>
    </row>
    <row r="24" spans="1:13" x14ac:dyDescent="0.25">
      <c r="A24" s="21"/>
      <c r="B24" s="1"/>
      <c r="C24" s="1"/>
      <c r="D24" s="1"/>
      <c r="E24" s="1" t="s">
        <v>58</v>
      </c>
      <c r="F24" s="81">
        <v>32</v>
      </c>
      <c r="G24" s="81">
        <v>42</v>
      </c>
      <c r="H24" s="81">
        <v>41</v>
      </c>
      <c r="I24" s="81">
        <v>39</v>
      </c>
      <c r="J24" s="81">
        <v>45</v>
      </c>
      <c r="K24" s="81">
        <v>59</v>
      </c>
      <c r="L24" s="81">
        <v>63</v>
      </c>
      <c r="M24" s="81">
        <v>67</v>
      </c>
    </row>
    <row r="25" spans="1:13" x14ac:dyDescent="0.25">
      <c r="A25" s="21"/>
      <c r="B25" s="1"/>
      <c r="C25" s="1"/>
      <c r="D25" s="1"/>
      <c r="E25" s="1" t="s">
        <v>75</v>
      </c>
      <c r="F25" s="81">
        <v>-10.199999999999999</v>
      </c>
      <c r="G25" s="81">
        <v>-6.9</v>
      </c>
      <c r="H25" s="81">
        <v>-1</v>
      </c>
      <c r="I25" s="81">
        <v>8.5</v>
      </c>
      <c r="J25" s="81">
        <v>15.1</v>
      </c>
      <c r="K25" s="81">
        <v>-4</v>
      </c>
      <c r="L25" s="81">
        <v>18</v>
      </c>
      <c r="M25" s="81">
        <v>-34</v>
      </c>
    </row>
    <row r="26" spans="1:13" x14ac:dyDescent="0.25">
      <c r="A26" s="21"/>
      <c r="E26" t="s">
        <v>7</v>
      </c>
      <c r="F26" s="81">
        <v>44.7</v>
      </c>
      <c r="G26" s="81">
        <v>49.1</v>
      </c>
      <c r="H26" s="81">
        <v>55.099999999999994</v>
      </c>
      <c r="I26" s="81">
        <v>53.2</v>
      </c>
      <c r="J26" s="81">
        <v>54</v>
      </c>
      <c r="K26" s="81">
        <v>58.3</v>
      </c>
      <c r="L26" s="81">
        <v>68</v>
      </c>
      <c r="M26" s="81">
        <v>65</v>
      </c>
    </row>
    <row r="27" spans="1:13" ht="15.75" thickBot="1" x14ac:dyDescent="0.3">
      <c r="A27" s="21"/>
      <c r="E27" s="82" t="s">
        <v>135</v>
      </c>
      <c r="F27" s="103">
        <f t="shared" ref="F27:K27" si="15">SUM(F22:F26)</f>
        <v>145.5</v>
      </c>
      <c r="G27" s="103">
        <f t="shared" si="15"/>
        <v>139.19999999999999</v>
      </c>
      <c r="H27" s="103">
        <f t="shared" si="15"/>
        <v>203.1</v>
      </c>
      <c r="I27" s="103">
        <f t="shared" si="15"/>
        <v>196.7</v>
      </c>
      <c r="J27" s="103">
        <f t="shared" si="15"/>
        <v>181.1</v>
      </c>
      <c r="K27" s="103">
        <f t="shared" si="15"/>
        <v>178.3</v>
      </c>
      <c r="L27" s="103">
        <f t="shared" ref="L27:M27" si="16">SUM(L22:L26)</f>
        <v>249</v>
      </c>
      <c r="M27" s="103">
        <f t="shared" si="16"/>
        <v>180</v>
      </c>
    </row>
    <row r="28" spans="1:13" s="1" customFormat="1" ht="15.75" thickTop="1" x14ac:dyDescent="0.25">
      <c r="A28" s="13"/>
      <c r="B28" s="13" t="s">
        <v>11</v>
      </c>
      <c r="C28" s="12"/>
      <c r="D28" s="85"/>
      <c r="E28" s="85"/>
      <c r="F28" s="53"/>
      <c r="G28" s="53"/>
      <c r="H28" s="53"/>
      <c r="I28" s="53"/>
      <c r="J28" s="53"/>
      <c r="K28" s="54"/>
      <c r="L28" s="54"/>
      <c r="M28" s="54"/>
    </row>
    <row r="29" spans="1:13" x14ac:dyDescent="0.25">
      <c r="A29" s="22"/>
      <c r="C29" s="6" t="s">
        <v>78</v>
      </c>
      <c r="D29" s="6"/>
      <c r="E29" s="36"/>
      <c r="F29" s="57"/>
      <c r="G29" s="57"/>
      <c r="H29" s="57"/>
      <c r="I29" s="57"/>
      <c r="J29" s="57"/>
      <c r="K29" s="52"/>
      <c r="L29" s="52"/>
      <c r="M29" s="52"/>
    </row>
    <row r="30" spans="1:13" s="1" customFormat="1" ht="17.25" x14ac:dyDescent="0.25">
      <c r="A30" s="22"/>
      <c r="D30" s="1" t="s">
        <v>112</v>
      </c>
      <c r="F30" s="58">
        <v>910</v>
      </c>
      <c r="G30" s="58">
        <v>757</v>
      </c>
      <c r="H30" s="58">
        <v>919</v>
      </c>
      <c r="I30" s="58">
        <v>613</v>
      </c>
      <c r="J30" s="58">
        <v>524.6</v>
      </c>
      <c r="K30" s="58">
        <v>291</v>
      </c>
      <c r="L30" s="58">
        <v>921</v>
      </c>
      <c r="M30" s="58">
        <v>751</v>
      </c>
    </row>
    <row r="31" spans="1:13" ht="15.75" customHeight="1" x14ac:dyDescent="0.25">
      <c r="A31" s="22"/>
      <c r="D31" t="s">
        <v>113</v>
      </c>
      <c r="F31" s="58">
        <v>737</v>
      </c>
      <c r="G31" s="58">
        <v>944</v>
      </c>
      <c r="H31" s="58">
        <v>1095</v>
      </c>
      <c r="I31" s="58">
        <v>1043</v>
      </c>
      <c r="J31" s="58">
        <v>1055</v>
      </c>
      <c r="K31" s="58">
        <v>618</v>
      </c>
      <c r="L31" s="58">
        <v>951</v>
      </c>
      <c r="M31" s="58">
        <v>1020</v>
      </c>
    </row>
    <row r="32" spans="1:13" x14ac:dyDescent="0.25">
      <c r="A32" s="22"/>
      <c r="D32" t="s">
        <v>18</v>
      </c>
      <c r="F32" s="59">
        <v>155</v>
      </c>
      <c r="G32" s="59">
        <v>162</v>
      </c>
      <c r="H32" s="59">
        <v>166</v>
      </c>
      <c r="I32" s="59">
        <v>164</v>
      </c>
      <c r="J32" s="59">
        <v>180.3</v>
      </c>
      <c r="K32" s="59">
        <v>182</v>
      </c>
      <c r="L32" s="59">
        <v>177</v>
      </c>
      <c r="M32" s="59">
        <v>160</v>
      </c>
    </row>
    <row r="33" spans="1:13" ht="17.25" x14ac:dyDescent="0.25">
      <c r="A33" s="21"/>
      <c r="D33" s="6" t="s">
        <v>114</v>
      </c>
      <c r="F33" s="51">
        <f t="shared" ref="F33:K33" si="17">F31+F30+F32</f>
        <v>1802</v>
      </c>
      <c r="G33" s="51">
        <f t="shared" si="17"/>
        <v>1863</v>
      </c>
      <c r="H33" s="51">
        <f t="shared" si="17"/>
        <v>2180</v>
      </c>
      <c r="I33" s="51">
        <f t="shared" si="17"/>
        <v>1820</v>
      </c>
      <c r="J33" s="51">
        <f t="shared" si="17"/>
        <v>1759.8999999999999</v>
      </c>
      <c r="K33" s="51">
        <f t="shared" si="17"/>
        <v>1091</v>
      </c>
      <c r="L33" s="51">
        <f t="shared" ref="L33:M33" si="18">L31+L30+L32</f>
        <v>2049</v>
      </c>
      <c r="M33" s="51">
        <f t="shared" si="18"/>
        <v>1931</v>
      </c>
    </row>
    <row r="34" spans="1:13" ht="8.25" customHeight="1" x14ac:dyDescent="0.25">
      <c r="A34" s="22"/>
      <c r="B34" s="1"/>
      <c r="C34" s="1"/>
      <c r="D34" s="1"/>
      <c r="F34" s="60"/>
      <c r="G34" s="60"/>
      <c r="H34" s="60"/>
      <c r="I34" s="60"/>
      <c r="J34" s="60"/>
      <c r="K34" s="60"/>
      <c r="L34" s="60"/>
      <c r="M34" s="60"/>
    </row>
    <row r="35" spans="1:13" x14ac:dyDescent="0.25">
      <c r="A35" s="22"/>
      <c r="C35" s="7" t="s">
        <v>77</v>
      </c>
      <c r="F35" s="61"/>
      <c r="G35" s="61"/>
      <c r="H35" s="61"/>
      <c r="I35" s="61"/>
      <c r="J35" s="61"/>
      <c r="K35" s="62"/>
      <c r="L35" s="62"/>
      <c r="M35" s="62"/>
    </row>
    <row r="36" spans="1:13" x14ac:dyDescent="0.25">
      <c r="A36" s="22"/>
      <c r="C36" s="7"/>
      <c r="D36" t="s">
        <v>38</v>
      </c>
      <c r="F36" s="87">
        <v>1678</v>
      </c>
      <c r="G36" s="87">
        <v>2048</v>
      </c>
      <c r="H36" s="87">
        <v>2183</v>
      </c>
      <c r="I36" s="87">
        <v>1855</v>
      </c>
      <c r="J36" s="88">
        <v>1805</v>
      </c>
      <c r="K36" s="88">
        <v>1818</v>
      </c>
      <c r="L36" s="88">
        <v>1944</v>
      </c>
      <c r="M36" s="88">
        <v>1503</v>
      </c>
    </row>
    <row r="37" spans="1:13" x14ac:dyDescent="0.25">
      <c r="A37" s="22"/>
      <c r="D37" t="s">
        <v>6</v>
      </c>
      <c r="F37" s="49">
        <v>0.73743286476483516</v>
      </c>
      <c r="G37" s="49">
        <v>0.90037979865802187</v>
      </c>
      <c r="H37" s="49">
        <v>0.95</v>
      </c>
      <c r="I37" s="49">
        <v>0.80629842859130429</v>
      </c>
      <c r="J37" s="50">
        <v>0.78</v>
      </c>
      <c r="K37" s="50">
        <v>0.79</v>
      </c>
      <c r="L37" s="50">
        <v>0.85</v>
      </c>
      <c r="M37" s="50">
        <v>0.65</v>
      </c>
    </row>
    <row r="38" spans="1:13" x14ac:dyDescent="0.25">
      <c r="A38" s="22"/>
    </row>
    <row r="39" spans="1:13" x14ac:dyDescent="0.25">
      <c r="A39" s="22"/>
      <c r="C39" s="7" t="s">
        <v>87</v>
      </c>
      <c r="F39" s="61"/>
      <c r="G39" s="61"/>
      <c r="H39" s="61"/>
      <c r="I39" s="61"/>
      <c r="J39" s="61"/>
      <c r="K39" s="86"/>
      <c r="L39" s="86"/>
      <c r="M39" s="86"/>
    </row>
    <row r="40" spans="1:13" ht="17.25" x14ac:dyDescent="0.25">
      <c r="A40" s="21"/>
      <c r="D40" s="1" t="s">
        <v>115</v>
      </c>
      <c r="F40" s="104">
        <v>351</v>
      </c>
      <c r="G40" s="104">
        <v>394</v>
      </c>
      <c r="H40" s="104">
        <v>465.5</v>
      </c>
      <c r="I40" s="104">
        <v>520</v>
      </c>
      <c r="J40" s="104">
        <v>533</v>
      </c>
      <c r="K40" s="105">
        <v>531</v>
      </c>
      <c r="L40" s="105">
        <v>498</v>
      </c>
      <c r="M40" s="105">
        <v>479</v>
      </c>
    </row>
    <row r="41" spans="1:13" ht="17.25" x14ac:dyDescent="0.25">
      <c r="A41" s="21"/>
      <c r="D41" s="1" t="s">
        <v>116</v>
      </c>
      <c r="F41" s="104">
        <v>280.86</v>
      </c>
      <c r="G41" s="104">
        <v>316</v>
      </c>
      <c r="H41" s="104">
        <v>347.34</v>
      </c>
      <c r="I41" s="104">
        <v>400</v>
      </c>
      <c r="J41" s="104">
        <v>393.39</v>
      </c>
      <c r="K41" s="105">
        <v>411</v>
      </c>
      <c r="L41" s="105">
        <v>403</v>
      </c>
      <c r="M41" s="105">
        <v>404</v>
      </c>
    </row>
    <row r="42" spans="1:13" ht="17.25" x14ac:dyDescent="0.25">
      <c r="A42" s="21"/>
      <c r="B42" t="s">
        <v>13</v>
      </c>
      <c r="D42" s="1" t="s">
        <v>117</v>
      </c>
      <c r="F42" s="104">
        <v>330.54</v>
      </c>
      <c r="G42" s="104">
        <v>358</v>
      </c>
      <c r="H42" s="104">
        <v>403.75</v>
      </c>
      <c r="I42" s="104">
        <v>446</v>
      </c>
      <c r="J42" s="104">
        <v>439.7</v>
      </c>
      <c r="K42" s="105">
        <v>453</v>
      </c>
      <c r="L42" s="105">
        <v>455</v>
      </c>
      <c r="M42" s="105">
        <v>444</v>
      </c>
    </row>
    <row r="43" spans="1:13" ht="8.25" customHeight="1" x14ac:dyDescent="0.25">
      <c r="A43" s="22"/>
      <c r="D43" s="1"/>
      <c r="F43" s="23"/>
      <c r="G43" s="23"/>
      <c r="H43" s="23"/>
      <c r="I43" s="23"/>
      <c r="J43" s="23"/>
      <c r="K43" s="22"/>
      <c r="L43" s="22"/>
      <c r="M43" s="22"/>
    </row>
    <row r="44" spans="1:13" ht="8.25" customHeight="1" x14ac:dyDescent="0.25">
      <c r="A44" s="22"/>
      <c r="D44" s="1"/>
      <c r="F44" s="23"/>
      <c r="G44" s="23"/>
      <c r="H44" s="23"/>
      <c r="I44" s="23"/>
      <c r="J44" s="23"/>
      <c r="K44" s="22"/>
      <c r="L44" s="22"/>
      <c r="M44" s="22"/>
    </row>
    <row r="45" spans="1:13" s="22" customFormat="1" x14ac:dyDescent="0.25">
      <c r="C45" s="34" t="s">
        <v>79</v>
      </c>
      <c r="F45" s="112">
        <v>231</v>
      </c>
      <c r="G45" s="112">
        <v>213</v>
      </c>
      <c r="H45" s="112">
        <v>235.89999999999998</v>
      </c>
      <c r="I45" s="112">
        <v>279</v>
      </c>
      <c r="J45" s="112">
        <v>296</v>
      </c>
      <c r="K45" s="112">
        <v>294</v>
      </c>
      <c r="L45" s="112">
        <v>303</v>
      </c>
      <c r="M45" s="117">
        <v>300</v>
      </c>
    </row>
    <row r="46" spans="1:13" x14ac:dyDescent="0.25">
      <c r="A46" s="22"/>
      <c r="J46" s="23"/>
    </row>
    <row r="47" spans="1:13" x14ac:dyDescent="0.25">
      <c r="A47" s="22"/>
    </row>
    <row r="48" spans="1:13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  <row r="59" spans="1:1" x14ac:dyDescent="0.25">
      <c r="A59" s="22"/>
    </row>
    <row r="60" spans="1:1" x14ac:dyDescent="0.25">
      <c r="A60" s="22"/>
    </row>
    <row r="61" spans="1:1" x14ac:dyDescent="0.25">
      <c r="A61" s="22"/>
    </row>
    <row r="62" spans="1:1" x14ac:dyDescent="0.25">
      <c r="A62" s="22"/>
    </row>
    <row r="63" spans="1:1" x14ac:dyDescent="0.25">
      <c r="A63" s="22"/>
    </row>
    <row r="64" spans="1:1" x14ac:dyDescent="0.25">
      <c r="A64" s="22"/>
    </row>
    <row r="65" spans="1:1" x14ac:dyDescent="0.25">
      <c r="A65" s="22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52"/>
  <sheetViews>
    <sheetView showGridLines="0" zoomScaleNormal="100" workbookViewId="0">
      <selection activeCell="G23" sqref="G23"/>
    </sheetView>
  </sheetViews>
  <sheetFormatPr defaultRowHeight="15" x14ac:dyDescent="0.25"/>
  <cols>
    <col min="1" max="1" width="5.7109375" style="22" customWidth="1"/>
    <col min="2" max="2" width="9.140625" style="22"/>
    <col min="3" max="3" width="4.5703125" style="22" customWidth="1"/>
    <col min="4" max="4" width="31.85546875" style="22" customWidth="1"/>
    <col min="5" max="11" width="12.28515625" style="22" customWidth="1"/>
    <col min="12" max="12" width="11.28515625" style="22" customWidth="1"/>
    <col min="13" max="16384" width="9.140625" style="22"/>
  </cols>
  <sheetData>
    <row r="1" spans="1:12" ht="21" x14ac:dyDescent="0.35">
      <c r="A1" s="48" t="s">
        <v>17</v>
      </c>
      <c r="B1" s="48"/>
    </row>
    <row r="3" spans="1:12" x14ac:dyDescent="0.25">
      <c r="A3" s="38"/>
      <c r="B3" s="38"/>
      <c r="C3" s="38"/>
      <c r="D3" s="38"/>
      <c r="E3" s="14" t="s">
        <v>24</v>
      </c>
      <c r="F3" s="14" t="s">
        <v>25</v>
      </c>
      <c r="G3" s="14" t="s">
        <v>26</v>
      </c>
      <c r="H3" s="14" t="s">
        <v>27</v>
      </c>
      <c r="I3" s="15" t="s">
        <v>28</v>
      </c>
      <c r="J3" s="18" t="s">
        <v>29</v>
      </c>
      <c r="K3" s="18" t="s">
        <v>95</v>
      </c>
      <c r="L3" s="18" t="s">
        <v>98</v>
      </c>
    </row>
    <row r="4" spans="1:12" s="1" customFormat="1" x14ac:dyDescent="0.25">
      <c r="A4" s="13"/>
      <c r="B4" s="13" t="s">
        <v>110</v>
      </c>
      <c r="C4" s="13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B5" s="34" t="s">
        <v>14</v>
      </c>
      <c r="C5" s="34"/>
      <c r="E5" s="39"/>
      <c r="F5" s="39"/>
      <c r="G5" s="39"/>
      <c r="H5" s="39"/>
      <c r="I5" s="40"/>
      <c r="J5" s="41"/>
      <c r="K5" s="41"/>
      <c r="L5" s="41"/>
    </row>
    <row r="6" spans="1:12" x14ac:dyDescent="0.25">
      <c r="A6" s="34"/>
      <c r="B6" s="34"/>
      <c r="C6" s="34" t="s">
        <v>73</v>
      </c>
      <c r="E6" s="42">
        <v>1974</v>
      </c>
      <c r="F6" s="42">
        <v>1458</v>
      </c>
      <c r="G6" s="42">
        <v>1882.2</v>
      </c>
      <c r="H6" s="42">
        <v>2219.8000000000002</v>
      </c>
      <c r="I6" s="42">
        <v>2178.8000000000002</v>
      </c>
      <c r="J6" s="42">
        <v>1652</v>
      </c>
      <c r="K6" s="42">
        <v>1789</v>
      </c>
      <c r="L6" s="42">
        <v>1561</v>
      </c>
    </row>
    <row r="7" spans="1:12" x14ac:dyDescent="0.25">
      <c r="C7" t="s">
        <v>35</v>
      </c>
      <c r="E7" s="74">
        <v>1497.7</v>
      </c>
      <c r="F7" s="74">
        <v>1003.8</v>
      </c>
      <c r="G7" s="74">
        <v>1403</v>
      </c>
      <c r="H7" s="74">
        <v>1810.2000000000003</v>
      </c>
      <c r="I7" s="75">
        <v>1703.1000000000001</v>
      </c>
      <c r="J7" s="75">
        <v>1392.6</v>
      </c>
      <c r="K7" s="75">
        <v>1467</v>
      </c>
      <c r="L7" s="75">
        <v>1273</v>
      </c>
    </row>
    <row r="8" spans="1:12" x14ac:dyDescent="0.25">
      <c r="C8" s="6" t="s">
        <v>36</v>
      </c>
      <c r="E8" s="107">
        <f t="shared" ref="E8:J8" si="0">E6-E7</f>
        <v>476.29999999999995</v>
      </c>
      <c r="F8" s="107">
        <f t="shared" si="0"/>
        <v>454.20000000000005</v>
      </c>
      <c r="G8" s="107">
        <f t="shared" si="0"/>
        <v>479.20000000000005</v>
      </c>
      <c r="H8" s="107">
        <f t="shared" si="0"/>
        <v>409.59999999999991</v>
      </c>
      <c r="I8" s="107">
        <f t="shared" si="0"/>
        <v>475.70000000000005</v>
      </c>
      <c r="J8" s="107">
        <f t="shared" si="0"/>
        <v>259.40000000000009</v>
      </c>
      <c r="K8" s="107">
        <f t="shared" ref="K8:L8" si="1">K6-K7</f>
        <v>322</v>
      </c>
      <c r="L8" s="107">
        <f t="shared" si="1"/>
        <v>288</v>
      </c>
    </row>
    <row r="9" spans="1:12" x14ac:dyDescent="0.25">
      <c r="C9" s="95" t="s">
        <v>76</v>
      </c>
      <c r="E9" s="43">
        <f t="shared" ref="E9:J9" si="2">E8/E6</f>
        <v>0.24128672745694019</v>
      </c>
      <c r="F9" s="43">
        <f t="shared" si="2"/>
        <v>0.311522633744856</v>
      </c>
      <c r="G9" s="43">
        <f t="shared" si="2"/>
        <v>0.25459568589947934</v>
      </c>
      <c r="H9" s="43">
        <f t="shared" si="2"/>
        <v>0.18452112802955214</v>
      </c>
      <c r="I9" s="43">
        <f t="shared" si="2"/>
        <v>0.21833119148154947</v>
      </c>
      <c r="J9" s="43">
        <f t="shared" si="2"/>
        <v>0.15702179176755454</v>
      </c>
      <c r="K9" s="43">
        <f t="shared" ref="K9:L9" si="3">K8/K6</f>
        <v>0.17998882057015092</v>
      </c>
      <c r="L9" s="43">
        <f t="shared" si="3"/>
        <v>0.18449711723254325</v>
      </c>
    </row>
    <row r="10" spans="1:12" x14ac:dyDescent="0.25">
      <c r="C10" s="95"/>
      <c r="E10" s="43"/>
      <c r="F10" s="43"/>
      <c r="G10" s="43"/>
      <c r="H10" s="43"/>
      <c r="I10" s="43"/>
      <c r="J10" s="43"/>
      <c r="K10" s="43"/>
      <c r="L10" s="43"/>
    </row>
    <row r="11" spans="1:12" x14ac:dyDescent="0.25">
      <c r="C11" s="22" t="s">
        <v>89</v>
      </c>
      <c r="E11" s="108">
        <v>118.70000000000005</v>
      </c>
      <c r="F11" s="108">
        <v>96.799999999999955</v>
      </c>
      <c r="G11" s="108">
        <v>137</v>
      </c>
      <c r="H11" s="108">
        <v>233.30203299999994</v>
      </c>
      <c r="I11" s="108">
        <v>130</v>
      </c>
      <c r="J11" s="108">
        <v>125</v>
      </c>
      <c r="K11" s="108">
        <v>156</v>
      </c>
      <c r="L11" s="108">
        <v>47</v>
      </c>
    </row>
    <row r="12" spans="1:12" x14ac:dyDescent="0.25">
      <c r="C12" s="22" t="s">
        <v>136</v>
      </c>
      <c r="E12" s="84">
        <f>E11</f>
        <v>118.70000000000005</v>
      </c>
      <c r="F12" s="84">
        <f t="shared" ref="F12:L12" si="4">F11</f>
        <v>96.799999999999955</v>
      </c>
      <c r="G12" s="84">
        <f t="shared" si="4"/>
        <v>137</v>
      </c>
      <c r="H12" s="84">
        <f t="shared" si="4"/>
        <v>233.30203299999994</v>
      </c>
      <c r="I12" s="84">
        <f t="shared" si="4"/>
        <v>130</v>
      </c>
      <c r="J12" s="84">
        <f t="shared" si="4"/>
        <v>125</v>
      </c>
      <c r="K12" s="84">
        <f t="shared" si="4"/>
        <v>156</v>
      </c>
      <c r="L12" s="84">
        <f t="shared" si="4"/>
        <v>47</v>
      </c>
    </row>
    <row r="13" spans="1:12" x14ac:dyDescent="0.25">
      <c r="E13" s="84"/>
      <c r="F13" s="84"/>
      <c r="G13" s="84"/>
      <c r="H13" s="84"/>
      <c r="I13" s="84"/>
      <c r="J13" s="84"/>
      <c r="K13" s="84"/>
      <c r="L13" s="84"/>
    </row>
    <row r="14" spans="1:12" ht="17.25" x14ac:dyDescent="0.25">
      <c r="C14" s="22" t="s">
        <v>118</v>
      </c>
      <c r="E14" s="108">
        <v>1854.7265709999999</v>
      </c>
      <c r="F14" s="108">
        <v>1360.615331</v>
      </c>
      <c r="G14" s="108">
        <v>1745</v>
      </c>
      <c r="H14" s="108">
        <v>1987</v>
      </c>
      <c r="I14" s="108">
        <v>2048.8000000000002</v>
      </c>
      <c r="J14" s="108">
        <v>1527</v>
      </c>
      <c r="K14" s="108">
        <f>K6-K11</f>
        <v>1633</v>
      </c>
      <c r="L14" s="108">
        <f>L6-L11</f>
        <v>1514</v>
      </c>
    </row>
    <row r="15" spans="1:12" ht="17.25" x14ac:dyDescent="0.25">
      <c r="C15" t="s">
        <v>119</v>
      </c>
      <c r="E15" s="76">
        <v>1379</v>
      </c>
      <c r="F15" s="76">
        <v>907</v>
      </c>
      <c r="G15" s="76">
        <v>1266</v>
      </c>
      <c r="H15" s="76">
        <v>1576.8979670000003</v>
      </c>
      <c r="I15" s="76">
        <v>1573.1000000000001</v>
      </c>
      <c r="J15" s="76">
        <v>1267.5999999999999</v>
      </c>
      <c r="K15" s="76">
        <f>K7-K11</f>
        <v>1311</v>
      </c>
      <c r="L15" s="76">
        <f>L7-L11</f>
        <v>1226</v>
      </c>
    </row>
    <row r="16" spans="1:12" ht="17.25" x14ac:dyDescent="0.25">
      <c r="C16" s="34" t="s">
        <v>120</v>
      </c>
      <c r="E16" s="109">
        <f t="shared" ref="E16:J16" si="5">E14-E15</f>
        <v>475.72657099999992</v>
      </c>
      <c r="F16" s="109">
        <f t="shared" si="5"/>
        <v>453.61533099999997</v>
      </c>
      <c r="G16" s="109">
        <f t="shared" si="5"/>
        <v>479</v>
      </c>
      <c r="H16" s="109">
        <f t="shared" si="5"/>
        <v>410.10203299999966</v>
      </c>
      <c r="I16" s="109">
        <f t="shared" si="5"/>
        <v>475.70000000000005</v>
      </c>
      <c r="J16" s="109">
        <f t="shared" si="5"/>
        <v>259.40000000000009</v>
      </c>
      <c r="K16" s="109">
        <f>K14-K15</f>
        <v>322</v>
      </c>
      <c r="L16" s="109">
        <f>L14-L15</f>
        <v>288</v>
      </c>
    </row>
    <row r="17" spans="1:12" ht="17.25" x14ac:dyDescent="0.25">
      <c r="C17" s="95" t="s">
        <v>121</v>
      </c>
      <c r="E17" s="43">
        <f t="shared" ref="E17:J17" si="6">E16/E14</f>
        <v>0.25649418002541785</v>
      </c>
      <c r="F17" s="43">
        <f t="shared" si="6"/>
        <v>0.33338984256969245</v>
      </c>
      <c r="G17" s="43">
        <f t="shared" si="6"/>
        <v>0.27449856733524353</v>
      </c>
      <c r="H17" s="43">
        <f t="shared" si="6"/>
        <v>0.20639256819325599</v>
      </c>
      <c r="I17" s="43">
        <f t="shared" si="6"/>
        <v>0.23218469347910972</v>
      </c>
      <c r="J17" s="43">
        <f t="shared" si="6"/>
        <v>0.16987557301899153</v>
      </c>
      <c r="K17" s="43">
        <f>K16/K14</f>
        <v>0.19718309859154928</v>
      </c>
      <c r="L17" s="43">
        <f>L16/L14</f>
        <v>0.19022457067371201</v>
      </c>
    </row>
    <row r="18" spans="1:12" x14ac:dyDescent="0.25">
      <c r="E18" s="44"/>
      <c r="F18" s="44"/>
      <c r="G18" s="44"/>
      <c r="H18" s="44"/>
      <c r="I18" s="44"/>
      <c r="J18" s="44"/>
      <c r="K18" s="44"/>
      <c r="L18" s="44"/>
    </row>
    <row r="19" spans="1:12" ht="15.75" thickBot="1" x14ac:dyDescent="0.3">
      <c r="C19" s="34" t="s">
        <v>22</v>
      </c>
      <c r="E19" s="110">
        <v>402.3</v>
      </c>
      <c r="F19" s="110">
        <v>371.8</v>
      </c>
      <c r="G19" s="110">
        <v>369.9</v>
      </c>
      <c r="H19" s="110">
        <v>333.3</v>
      </c>
      <c r="I19" s="110">
        <v>431.6</v>
      </c>
      <c r="J19" s="110">
        <v>190.2</v>
      </c>
      <c r="K19" s="110">
        <v>224</v>
      </c>
      <c r="L19" s="110">
        <v>208</v>
      </c>
    </row>
    <row r="20" spans="1:12" ht="15.75" thickTop="1" x14ac:dyDescent="0.25">
      <c r="C20" s="95" t="s">
        <v>76</v>
      </c>
      <c r="E20" s="43">
        <f t="shared" ref="E20:J20" si="7">E19/E6</f>
        <v>0.20379939209726444</v>
      </c>
      <c r="F20" s="43">
        <f t="shared" si="7"/>
        <v>0.25500685871056245</v>
      </c>
      <c r="G20" s="43">
        <f t="shared" si="7"/>
        <v>0.19652534268409308</v>
      </c>
      <c r="H20" s="43">
        <f t="shared" si="7"/>
        <v>0.15014866204162536</v>
      </c>
      <c r="I20" s="43">
        <f t="shared" si="7"/>
        <v>0.19809069212410502</v>
      </c>
      <c r="J20" s="43">
        <f t="shared" si="7"/>
        <v>0.11513317191283293</v>
      </c>
      <c r="K20" s="43">
        <f>K19/K6</f>
        <v>0.1252096143096702</v>
      </c>
      <c r="L20" s="43">
        <f>L19/L6</f>
        <v>0.13324791800128122</v>
      </c>
    </row>
    <row r="21" spans="1:12" x14ac:dyDescent="0.25">
      <c r="E21" s="45"/>
      <c r="F21" s="45"/>
      <c r="G21" s="45"/>
      <c r="H21" s="45"/>
      <c r="I21" s="45"/>
      <c r="J21" s="45"/>
      <c r="K21" s="45"/>
      <c r="L21" s="45"/>
    </row>
    <row r="22" spans="1:12" x14ac:dyDescent="0.25">
      <c r="C22" s="34" t="s">
        <v>7</v>
      </c>
      <c r="E22" s="111">
        <v>58.5</v>
      </c>
      <c r="F22" s="111">
        <v>62.6</v>
      </c>
      <c r="G22" s="111">
        <v>66</v>
      </c>
      <c r="H22" s="111">
        <v>64.599999999999994</v>
      </c>
      <c r="I22" s="111">
        <v>64.099999999999994</v>
      </c>
      <c r="J22" s="111">
        <v>66.8</v>
      </c>
      <c r="K22" s="111">
        <v>68</v>
      </c>
      <c r="L22" s="115">
        <v>69</v>
      </c>
    </row>
    <row r="23" spans="1:12" x14ac:dyDescent="0.25">
      <c r="E23" s="43"/>
      <c r="F23" s="43"/>
      <c r="G23" s="43"/>
      <c r="H23" s="43"/>
      <c r="I23" s="43"/>
      <c r="J23" s="43"/>
      <c r="K23" s="43"/>
      <c r="L23" s="43"/>
    </row>
    <row r="24" spans="1:12" s="1" customFormat="1" x14ac:dyDescent="0.25">
      <c r="A24" s="13"/>
      <c r="B24" s="13" t="s">
        <v>11</v>
      </c>
      <c r="C24" s="12"/>
      <c r="D24" s="12"/>
      <c r="E24" s="24"/>
      <c r="F24" s="24"/>
      <c r="G24" s="24"/>
      <c r="H24" s="24"/>
      <c r="I24" s="24"/>
      <c r="J24" s="12"/>
      <c r="K24" s="12"/>
      <c r="L24" s="12"/>
    </row>
    <row r="25" spans="1:12" x14ac:dyDescent="0.25">
      <c r="E25" s="46"/>
      <c r="F25" s="28"/>
      <c r="G25" s="25"/>
      <c r="H25" s="25"/>
      <c r="I25" s="25"/>
    </row>
    <row r="26" spans="1:12" x14ac:dyDescent="0.25">
      <c r="B26" s="6" t="s">
        <v>78</v>
      </c>
      <c r="E26" s="46"/>
      <c r="F26" s="28"/>
      <c r="G26" s="25"/>
      <c r="H26" s="25"/>
      <c r="I26" s="25"/>
    </row>
    <row r="27" spans="1:12" x14ac:dyDescent="0.25">
      <c r="C27" s="22" t="s">
        <v>21</v>
      </c>
      <c r="E27" s="46"/>
      <c r="F27" s="28"/>
      <c r="G27" s="25"/>
      <c r="H27" s="25"/>
      <c r="I27" s="25"/>
    </row>
    <row r="28" spans="1:12" ht="17.25" x14ac:dyDescent="0.25">
      <c r="D28" s="22" t="s">
        <v>122</v>
      </c>
      <c r="E28" s="47">
        <v>972</v>
      </c>
      <c r="F28" s="47">
        <v>719.20799999999997</v>
      </c>
      <c r="G28" s="47">
        <v>896.68399999999997</v>
      </c>
      <c r="H28" s="47">
        <v>863.86599999999999</v>
      </c>
      <c r="I28" s="47">
        <v>893</v>
      </c>
      <c r="J28" s="47">
        <v>931</v>
      </c>
      <c r="K28" s="47">
        <v>1059</v>
      </c>
      <c r="L28" s="47">
        <v>855</v>
      </c>
    </row>
    <row r="29" spans="1:12" ht="17.25" x14ac:dyDescent="0.25">
      <c r="D29" s="22" t="s">
        <v>123</v>
      </c>
      <c r="E29" s="47">
        <v>1264</v>
      </c>
      <c r="F29" s="47">
        <v>807</v>
      </c>
      <c r="G29" s="47">
        <v>962</v>
      </c>
      <c r="H29" s="47">
        <v>1000</v>
      </c>
      <c r="I29" s="47">
        <v>994</v>
      </c>
      <c r="J29" s="26">
        <v>857</v>
      </c>
      <c r="K29" s="26">
        <v>959</v>
      </c>
      <c r="L29" s="26">
        <v>603</v>
      </c>
    </row>
    <row r="30" spans="1:12" ht="17.25" x14ac:dyDescent="0.25">
      <c r="C30" s="22" t="s">
        <v>124</v>
      </c>
      <c r="E30" s="47">
        <v>867</v>
      </c>
      <c r="F30" s="47">
        <v>511</v>
      </c>
      <c r="G30" s="47">
        <v>558</v>
      </c>
      <c r="H30" s="47">
        <v>795</v>
      </c>
      <c r="I30" s="47">
        <v>820</v>
      </c>
      <c r="J30" s="26">
        <v>489</v>
      </c>
      <c r="K30" s="26">
        <v>516</v>
      </c>
      <c r="L30" s="26">
        <v>751</v>
      </c>
    </row>
    <row r="31" spans="1:12" x14ac:dyDescent="0.25">
      <c r="C31" s="22" t="s">
        <v>12</v>
      </c>
      <c r="E31" s="47">
        <v>149</v>
      </c>
      <c r="F31" s="47">
        <v>162</v>
      </c>
      <c r="G31" s="47">
        <v>134</v>
      </c>
      <c r="H31" s="47">
        <v>152</v>
      </c>
      <c r="I31" s="47">
        <v>147</v>
      </c>
      <c r="J31" s="26">
        <v>169</v>
      </c>
      <c r="K31" s="26">
        <v>153</v>
      </c>
      <c r="L31" s="26">
        <v>132</v>
      </c>
    </row>
    <row r="32" spans="1:12" ht="17.25" x14ac:dyDescent="0.25">
      <c r="C32" s="22" t="s">
        <v>126</v>
      </c>
      <c r="E32" s="33">
        <v>421</v>
      </c>
      <c r="F32" s="33">
        <v>172</v>
      </c>
      <c r="G32" s="33">
        <v>290</v>
      </c>
      <c r="H32" s="33">
        <v>347</v>
      </c>
      <c r="I32" s="33">
        <v>342</v>
      </c>
      <c r="J32" s="33">
        <v>145</v>
      </c>
      <c r="K32" s="33">
        <v>203</v>
      </c>
      <c r="L32" s="33">
        <v>321</v>
      </c>
    </row>
    <row r="33" spans="2:12" ht="18" thickBot="1" x14ac:dyDescent="0.3">
      <c r="C33" s="34" t="s">
        <v>125</v>
      </c>
      <c r="E33" s="64">
        <f t="shared" ref="E33:J33" si="8">SUM(E28:E32)</f>
        <v>3673</v>
      </c>
      <c r="F33" s="64">
        <f t="shared" si="8"/>
        <v>2371.2080000000001</v>
      </c>
      <c r="G33" s="64">
        <f t="shared" si="8"/>
        <v>2840.6840000000002</v>
      </c>
      <c r="H33" s="64">
        <f t="shared" si="8"/>
        <v>3157.866</v>
      </c>
      <c r="I33" s="64">
        <f t="shared" si="8"/>
        <v>3196</v>
      </c>
      <c r="J33" s="64">
        <f t="shared" si="8"/>
        <v>2591</v>
      </c>
      <c r="K33" s="64">
        <f t="shared" ref="K33:L33" si="9">SUM(K28:K32)</f>
        <v>2890</v>
      </c>
      <c r="L33" s="64">
        <f t="shared" si="9"/>
        <v>2662</v>
      </c>
    </row>
    <row r="34" spans="2:12" ht="15.75" thickTop="1" x14ac:dyDescent="0.25">
      <c r="C34" s="34"/>
      <c r="E34" s="63"/>
      <c r="F34" s="63"/>
      <c r="G34" s="63"/>
      <c r="H34" s="63"/>
      <c r="I34" s="63"/>
      <c r="J34" s="63"/>
      <c r="K34" s="63"/>
      <c r="L34" s="63"/>
    </row>
    <row r="35" spans="2:12" x14ac:dyDescent="0.25">
      <c r="B35" s="7" t="s">
        <v>77</v>
      </c>
      <c r="C35" s="34"/>
    </row>
    <row r="36" spans="2:12" ht="17.25" x14ac:dyDescent="0.25">
      <c r="C36" s="22" t="s">
        <v>127</v>
      </c>
      <c r="E36" s="26">
        <v>2139</v>
      </c>
      <c r="F36" s="26">
        <v>2007.1668329855754</v>
      </c>
      <c r="G36" s="26">
        <v>2092.5337929783177</v>
      </c>
      <c r="H36" s="26">
        <v>2163</v>
      </c>
      <c r="I36" s="26">
        <v>2083</v>
      </c>
      <c r="J36" s="26">
        <v>1954</v>
      </c>
      <c r="K36" s="26">
        <v>2079</v>
      </c>
      <c r="L36" s="26">
        <v>1961</v>
      </c>
    </row>
    <row r="37" spans="2:12" x14ac:dyDescent="0.25">
      <c r="C37" s="22" t="s">
        <v>6</v>
      </c>
      <c r="E37" s="29">
        <v>0.88231635633459915</v>
      </c>
      <c r="F37" s="29">
        <v>0.82769766308683523</v>
      </c>
      <c r="G37" s="29">
        <v>0.86290053318693516</v>
      </c>
      <c r="H37" s="29">
        <v>0.89195876288659792</v>
      </c>
      <c r="I37" s="29">
        <v>0.85896907216494844</v>
      </c>
      <c r="J37" s="29">
        <v>0.80577319587628871</v>
      </c>
      <c r="K37" s="29">
        <v>0.86</v>
      </c>
      <c r="L37" s="29">
        <v>0.81</v>
      </c>
    </row>
    <row r="39" spans="2:12" x14ac:dyDescent="0.25">
      <c r="B39" s="7" t="s">
        <v>84</v>
      </c>
      <c r="E39" s="25"/>
      <c r="F39" s="25"/>
      <c r="G39" s="25"/>
      <c r="H39" s="25"/>
      <c r="I39" s="25"/>
    </row>
    <row r="40" spans="2:12" ht="17.25" x14ac:dyDescent="0.25">
      <c r="C40" s="22" t="s">
        <v>128</v>
      </c>
      <c r="E40" s="106">
        <v>461</v>
      </c>
      <c r="F40" s="106">
        <v>543</v>
      </c>
      <c r="G40" s="106">
        <v>574</v>
      </c>
      <c r="H40" s="106">
        <v>576</v>
      </c>
      <c r="I40" s="106">
        <v>611</v>
      </c>
      <c r="J40" s="106">
        <v>536</v>
      </c>
      <c r="K40" s="106">
        <v>494</v>
      </c>
      <c r="L40" s="106">
        <v>529</v>
      </c>
    </row>
    <row r="41" spans="2:12" ht="17.25" x14ac:dyDescent="0.25">
      <c r="C41" s="22" t="s">
        <v>129</v>
      </c>
      <c r="E41" s="106">
        <v>459</v>
      </c>
      <c r="F41" s="106">
        <v>503</v>
      </c>
      <c r="G41" s="106">
        <v>560</v>
      </c>
      <c r="H41" s="106">
        <v>590</v>
      </c>
      <c r="I41" s="106">
        <v>581</v>
      </c>
      <c r="J41" s="106">
        <v>588</v>
      </c>
      <c r="K41" s="106">
        <v>551</v>
      </c>
      <c r="L41" s="106">
        <v>533</v>
      </c>
    </row>
    <row r="42" spans="2:12" x14ac:dyDescent="0.25">
      <c r="E42" s="106"/>
      <c r="F42" s="106"/>
      <c r="G42" s="106"/>
      <c r="H42" s="106"/>
      <c r="I42" s="106"/>
      <c r="J42" s="106"/>
      <c r="K42" s="106"/>
      <c r="L42" s="106"/>
    </row>
    <row r="43" spans="2:12" x14ac:dyDescent="0.25">
      <c r="B43" s="34" t="s">
        <v>83</v>
      </c>
      <c r="E43" s="106"/>
      <c r="F43" s="106"/>
      <c r="G43" s="106"/>
      <c r="H43" s="106"/>
      <c r="I43" s="106"/>
      <c r="J43" s="106"/>
      <c r="K43" s="106"/>
      <c r="L43" s="106"/>
    </row>
    <row r="44" spans="2:12" ht="17.25" x14ac:dyDescent="0.25">
      <c r="C44" s="22" t="s">
        <v>130</v>
      </c>
      <c r="E44" s="106">
        <v>361</v>
      </c>
      <c r="F44" s="106">
        <v>406</v>
      </c>
      <c r="G44" s="106">
        <v>476</v>
      </c>
      <c r="H44" s="106">
        <v>551</v>
      </c>
      <c r="I44" s="106">
        <v>579.21</v>
      </c>
      <c r="J44" s="106">
        <v>589</v>
      </c>
      <c r="K44" s="106">
        <v>417</v>
      </c>
      <c r="L44" s="106">
        <v>449</v>
      </c>
    </row>
    <row r="45" spans="2:12" ht="17.25" x14ac:dyDescent="0.25">
      <c r="C45" s="22" t="s">
        <v>131</v>
      </c>
      <c r="E45" s="106">
        <v>134</v>
      </c>
      <c r="F45" s="106">
        <v>166</v>
      </c>
      <c r="G45" s="106">
        <v>197</v>
      </c>
      <c r="H45" s="106">
        <v>232</v>
      </c>
      <c r="I45" s="106">
        <v>236.99</v>
      </c>
      <c r="J45" s="106">
        <v>228</v>
      </c>
      <c r="K45" s="106">
        <v>200</v>
      </c>
      <c r="L45" s="106">
        <v>196</v>
      </c>
    </row>
    <row r="46" spans="2:12" x14ac:dyDescent="0.25">
      <c r="E46" s="26"/>
      <c r="F46" s="26"/>
      <c r="G46" s="26"/>
      <c r="H46" s="26"/>
      <c r="I46" s="26"/>
      <c r="J46" s="26"/>
      <c r="K46" s="26"/>
      <c r="L46" s="26"/>
    </row>
    <row r="47" spans="2:12" x14ac:dyDescent="0.25">
      <c r="B47" s="34" t="s">
        <v>82</v>
      </c>
      <c r="E47" s="26"/>
      <c r="F47" s="26"/>
      <c r="G47" s="26"/>
      <c r="H47" s="26"/>
      <c r="I47" s="26"/>
      <c r="J47" s="26"/>
      <c r="K47" s="26"/>
      <c r="L47" s="26"/>
    </row>
    <row r="48" spans="2:12" ht="17.25" x14ac:dyDescent="0.25">
      <c r="C48" s="22" t="s">
        <v>80</v>
      </c>
      <c r="E48" s="5">
        <v>457.33333333333331</v>
      </c>
      <c r="F48" s="5">
        <v>484.58333333333331</v>
      </c>
      <c r="G48" s="5">
        <v>556.5</v>
      </c>
      <c r="H48" s="5">
        <v>560.08333333333337</v>
      </c>
      <c r="I48" s="5">
        <v>652.33333333333337</v>
      </c>
      <c r="J48" s="5">
        <v>524.25</v>
      </c>
      <c r="K48" s="5">
        <v>486</v>
      </c>
      <c r="L48" s="5">
        <v>683</v>
      </c>
    </row>
    <row r="49" spans="2:12" ht="17.25" x14ac:dyDescent="0.25">
      <c r="C49" s="22" t="s">
        <v>67</v>
      </c>
      <c r="E49" s="5">
        <v>122</v>
      </c>
      <c r="F49" s="5">
        <v>168.33333333333334</v>
      </c>
      <c r="G49" s="5">
        <v>196.66666666666666</v>
      </c>
      <c r="H49" s="5">
        <v>220</v>
      </c>
      <c r="I49" s="5">
        <v>220</v>
      </c>
      <c r="J49" s="5">
        <v>204</v>
      </c>
      <c r="K49" s="5">
        <v>175</v>
      </c>
      <c r="L49" s="5">
        <v>176</v>
      </c>
    </row>
    <row r="50" spans="2:12" ht="17.25" x14ac:dyDescent="0.25">
      <c r="C50" s="22" t="s">
        <v>68</v>
      </c>
      <c r="E50" s="3">
        <v>3.8457142857142856</v>
      </c>
      <c r="F50" s="3">
        <v>4.2718814992025518</v>
      </c>
      <c r="G50" s="3">
        <v>4.2258391304347827</v>
      </c>
      <c r="H50" s="3">
        <v>4.2842868906455864</v>
      </c>
      <c r="I50" s="3">
        <v>3.6769047619047619</v>
      </c>
      <c r="J50" s="3">
        <v>2.8330785714285711</v>
      </c>
      <c r="K50" s="3">
        <v>2.2999999999999998</v>
      </c>
      <c r="L50" s="3">
        <v>2.8</v>
      </c>
    </row>
    <row r="51" spans="2:12" x14ac:dyDescent="0.25">
      <c r="E51" s="5"/>
      <c r="F51" s="5"/>
      <c r="G51" s="5"/>
      <c r="H51" s="5"/>
      <c r="I51" s="5"/>
      <c r="J51" s="5"/>
      <c r="K51" s="5"/>
      <c r="L51" s="5"/>
    </row>
    <row r="52" spans="2:12" x14ac:dyDescent="0.25">
      <c r="B52" s="34" t="s">
        <v>81</v>
      </c>
      <c r="E52" s="106">
        <v>57</v>
      </c>
      <c r="F52" s="106">
        <v>77</v>
      </c>
      <c r="G52" s="106">
        <v>109</v>
      </c>
      <c r="H52" s="106">
        <v>98</v>
      </c>
      <c r="I52" s="106">
        <v>82</v>
      </c>
      <c r="J52" s="106">
        <v>100</v>
      </c>
      <c r="K52" s="106">
        <v>128</v>
      </c>
      <c r="L52" s="5">
        <v>131</v>
      </c>
    </row>
  </sheetData>
  <pageMargins left="0.7" right="0.7" top="0.49" bottom="0.39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zoomScaleNormal="100" workbookViewId="0">
      <selection activeCell="C28" sqref="C28"/>
    </sheetView>
  </sheetViews>
  <sheetFormatPr defaultRowHeight="15" x14ac:dyDescent="0.25"/>
  <cols>
    <col min="1" max="1" width="3.85546875" customWidth="1"/>
  </cols>
  <sheetData>
    <row r="1" spans="1:13" ht="21" x14ac:dyDescent="0.35">
      <c r="A1" s="48" t="s">
        <v>62</v>
      </c>
    </row>
    <row r="3" spans="1:13" ht="17.25" x14ac:dyDescent="0.25">
      <c r="A3" s="89" t="s">
        <v>103</v>
      </c>
      <c r="B3" s="93" t="s">
        <v>96</v>
      </c>
      <c r="C3" s="22"/>
    </row>
    <row r="4" spans="1:13" ht="18" x14ac:dyDescent="0.25">
      <c r="A4" s="91" t="s">
        <v>44</v>
      </c>
      <c r="B4" s="92" t="s">
        <v>74</v>
      </c>
      <c r="C4" s="1"/>
    </row>
    <row r="5" spans="1:13" ht="18" x14ac:dyDescent="0.25">
      <c r="A5" s="91" t="s">
        <v>41</v>
      </c>
      <c r="B5" s="92" t="s">
        <v>54</v>
      </c>
      <c r="C5" s="1"/>
    </row>
    <row r="6" spans="1:13" ht="17.25" x14ac:dyDescent="0.25">
      <c r="A6" s="89" t="s">
        <v>55</v>
      </c>
      <c r="B6" s="90" t="s">
        <v>39</v>
      </c>
      <c r="C6" s="1"/>
    </row>
    <row r="7" spans="1:13" ht="18" x14ac:dyDescent="0.25">
      <c r="A7" s="91" t="s">
        <v>59</v>
      </c>
      <c r="B7" s="90" t="s">
        <v>43</v>
      </c>
      <c r="C7" s="1"/>
    </row>
    <row r="8" spans="1:13" ht="17.25" x14ac:dyDescent="0.25">
      <c r="A8" s="89" t="s">
        <v>132</v>
      </c>
      <c r="B8" s="90" t="s">
        <v>42</v>
      </c>
      <c r="C8" s="1"/>
    </row>
    <row r="9" spans="1:13" ht="17.25" x14ac:dyDescent="0.25">
      <c r="A9" s="89" t="s">
        <v>133</v>
      </c>
      <c r="B9" s="90" t="s">
        <v>45</v>
      </c>
    </row>
    <row r="10" spans="1:13" ht="17.25" x14ac:dyDescent="0.25">
      <c r="A10" s="89" t="s">
        <v>134</v>
      </c>
      <c r="B10" s="93" t="s">
        <v>56</v>
      </c>
      <c r="C10" s="22"/>
      <c r="D10" s="22"/>
      <c r="E10" s="22"/>
      <c r="F10" s="22"/>
      <c r="G10" s="22"/>
      <c r="H10" s="22"/>
      <c r="I10" s="22"/>
      <c r="J10" s="22"/>
    </row>
    <row r="11" spans="1:13" ht="31.5" customHeight="1" x14ac:dyDescent="0.25">
      <c r="A11" s="89" t="s">
        <v>52</v>
      </c>
      <c r="B11" s="120" t="s">
        <v>40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</row>
    <row r="12" spans="1:13" ht="17.25" x14ac:dyDescent="0.25">
      <c r="A12" s="89" t="s">
        <v>57</v>
      </c>
      <c r="B12" s="90" t="s">
        <v>46</v>
      </c>
      <c r="C12" s="22"/>
      <c r="D12" s="22"/>
      <c r="E12" s="22"/>
      <c r="F12" s="22"/>
      <c r="G12" s="22"/>
      <c r="H12" s="22"/>
      <c r="I12" s="22"/>
      <c r="J12" s="22"/>
    </row>
    <row r="13" spans="1:13" ht="17.25" x14ac:dyDescent="0.25">
      <c r="A13" s="89" t="s">
        <v>60</v>
      </c>
      <c r="B13" s="90" t="s">
        <v>49</v>
      </c>
      <c r="C13" s="22"/>
      <c r="D13" s="22"/>
      <c r="E13" s="22"/>
      <c r="F13" s="22"/>
      <c r="G13" s="22"/>
      <c r="H13" s="22"/>
      <c r="I13" s="22"/>
      <c r="J13" s="22"/>
    </row>
    <row r="14" spans="1:13" ht="17.25" x14ac:dyDescent="0.25">
      <c r="A14" s="89" t="s">
        <v>61</v>
      </c>
      <c r="B14" s="90" t="s">
        <v>47</v>
      </c>
      <c r="C14" s="22"/>
      <c r="D14" s="22"/>
      <c r="E14" s="22"/>
      <c r="F14" s="22"/>
      <c r="G14" s="22"/>
      <c r="H14" s="22"/>
      <c r="I14" s="22"/>
      <c r="J14" s="22"/>
    </row>
    <row r="15" spans="1:13" ht="17.25" x14ac:dyDescent="0.25">
      <c r="A15" s="89" t="s">
        <v>63</v>
      </c>
      <c r="B15" s="90" t="s">
        <v>48</v>
      </c>
      <c r="C15" s="22"/>
      <c r="D15" s="22"/>
      <c r="E15" s="22"/>
      <c r="F15" s="22"/>
      <c r="G15" s="22"/>
      <c r="H15" s="22"/>
      <c r="I15" s="22"/>
      <c r="J15" s="22"/>
    </row>
    <row r="16" spans="1:13" ht="17.25" x14ac:dyDescent="0.25">
      <c r="A16" s="89" t="s">
        <v>64</v>
      </c>
      <c r="B16" s="93" t="s">
        <v>50</v>
      </c>
      <c r="C16" s="22"/>
      <c r="D16" s="22"/>
      <c r="E16" s="22"/>
      <c r="F16" s="22"/>
      <c r="G16" s="22"/>
      <c r="H16" s="22"/>
      <c r="I16" s="22"/>
      <c r="J16" s="22"/>
    </row>
    <row r="17" spans="1:10" ht="17.25" x14ac:dyDescent="0.25">
      <c r="A17" s="89" t="s">
        <v>65</v>
      </c>
      <c r="B17" s="93" t="s">
        <v>51</v>
      </c>
      <c r="C17" s="22"/>
      <c r="D17" s="22"/>
      <c r="E17" s="22"/>
      <c r="F17" s="22"/>
      <c r="G17" s="22"/>
      <c r="H17" s="22"/>
      <c r="I17" s="22"/>
      <c r="J17" s="22"/>
    </row>
    <row r="18" spans="1:10" ht="17.25" x14ac:dyDescent="0.25">
      <c r="A18" s="89" t="s">
        <v>66</v>
      </c>
      <c r="B18" s="93" t="s">
        <v>53</v>
      </c>
      <c r="C18" s="22"/>
      <c r="D18" s="22"/>
      <c r="E18" s="22"/>
      <c r="F18" s="22"/>
      <c r="G18" s="22"/>
      <c r="H18" s="22"/>
      <c r="I18" s="22"/>
      <c r="J18" s="22"/>
    </row>
    <row r="19" spans="1:10" ht="17.25" x14ac:dyDescent="0.25">
      <c r="A19" s="89"/>
      <c r="B19" s="93"/>
      <c r="C19" s="22"/>
      <c r="D19" s="22"/>
      <c r="E19" s="22"/>
      <c r="F19" s="22"/>
      <c r="G19" s="22"/>
      <c r="H19" s="22"/>
      <c r="I19" s="22"/>
      <c r="J19" s="22"/>
    </row>
  </sheetData>
  <mergeCells count="1">
    <mergeCell ref="B11:M11"/>
  </mergeCells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Publish Consolidated Summary</vt:lpstr>
      <vt:lpstr>Publish Potash</vt:lpstr>
      <vt:lpstr>Publish Phosphates</vt:lpstr>
      <vt:lpstr>Footnotes</vt:lpstr>
      <vt:lpstr>Footnotes!Print_Area</vt:lpstr>
      <vt:lpstr>'Publish Consolidated Summary'!Print_Area</vt:lpstr>
      <vt:lpstr>'Publish Phosphates'!Print_Area</vt:lpstr>
      <vt:lpstr>'Publish Potash'!Print_Area</vt:lpstr>
    </vt:vector>
  </TitlesOfParts>
  <Company>Mosaic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lgagnon on MPR8L1ZN6</dc:creator>
  <cp:lastModifiedBy>apshon on MP6KAMQG9</cp:lastModifiedBy>
  <cp:lastPrinted>2012-10-01T18:52:35Z</cp:lastPrinted>
  <dcterms:created xsi:type="dcterms:W3CDTF">2011-08-02T15:22:42Z</dcterms:created>
  <dcterms:modified xsi:type="dcterms:W3CDTF">2012-10-01T21:19:18Z</dcterms:modified>
</cp:coreProperties>
</file>