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tabRatio="744" firstSheet="1" activeTab="1"/>
  </bookViews>
  <sheets>
    <sheet name="CY v. PY Qtr &amp; YTD" sheetId="1" r:id="rId1"/>
    <sheet name="Segment " sheetId="2" r:id="rId2"/>
    <sheet name="Balance Sheet" sheetId="3" r:id="rId3"/>
    <sheet name="11Q Access Lines" sheetId="4" r:id="rId4"/>
    <sheet name="Consol Co Excl Broadba" sheetId="5" r:id="rId5"/>
    <sheet name="Net Debt - YTD" sheetId="6" r:id="rId6"/>
    <sheet name="Consol Cash Flow Recon" sheetId="7" r:id="rId7"/>
  </sheets>
  <externalReferences>
    <externalReference r:id="rId10"/>
  </externalReferences>
  <definedNames>
    <definedName name="corner4">#REF!</definedName>
    <definedName name="corner5">#REF!</definedName>
    <definedName name="_xlnm.Print_Area" localSheetId="3">'11Q Access Lines'!$A$1:$O$23</definedName>
    <definedName name="value4">#REF!</definedName>
    <definedName name="value5">#REF!</definedName>
    <definedName name="value6">#REF!</definedName>
    <definedName name="Z_A0A558AC_B09F_4D26_B371_4F17B7E0AA16_.wvu.Rows" localSheetId="0" hidden="1">'CY v. PY Qtr &amp; YTD'!#REF!</definedName>
  </definedNames>
  <calcPr fullCalcOnLoad="1"/>
</workbook>
</file>

<file path=xl/comments2.xml><?xml version="1.0" encoding="utf-8"?>
<comments xmlns="http://schemas.openxmlformats.org/spreadsheetml/2006/main">
  <authors>
    <author>CBT</author>
  </authors>
  <commentList>
    <comment ref="K73" authorId="0">
      <text>
        <r>
          <rPr>
            <b/>
            <sz val="8"/>
            <rFont val="Tahoma"/>
            <family val="0"/>
          </rPr>
          <t>CBT:</t>
        </r>
        <r>
          <rPr>
            <sz val="8"/>
            <rFont val="Tahoma"/>
            <family val="0"/>
          </rPr>
          <t xml:space="preserve">
Netted with uncollectible</t>
        </r>
      </text>
    </comment>
  </commentList>
</comments>
</file>

<file path=xl/sharedStrings.xml><?xml version="1.0" encoding="utf-8"?>
<sst xmlns="http://schemas.openxmlformats.org/spreadsheetml/2006/main" count="283" uniqueCount="187">
  <si>
    <t>Consolidated Balance Sheets</t>
  </si>
  <si>
    <t>(Unaudited)</t>
  </si>
  <si>
    <t>December 31,</t>
  </si>
  <si>
    <t>Assets</t>
  </si>
  <si>
    <t>Cash and Cash Equivalents</t>
  </si>
  <si>
    <t>Receivables - Net</t>
  </si>
  <si>
    <t>Other Current Assets</t>
  </si>
  <si>
    <t>Property, Plant and Equipment - Net</t>
  </si>
  <si>
    <t xml:space="preserve">   Total Assets</t>
  </si>
  <si>
    <t>Other Current Liabilities</t>
  </si>
  <si>
    <t>Long-Term Debt, Less Current Portion</t>
  </si>
  <si>
    <t>Minority Interest</t>
  </si>
  <si>
    <t>For the Three Months</t>
  </si>
  <si>
    <t>%</t>
  </si>
  <si>
    <t>Change</t>
  </si>
  <si>
    <t>Costs &amp; Expenses</t>
  </si>
  <si>
    <t>Selling, General &amp; Administrative</t>
  </si>
  <si>
    <t>Depreciation and Amortization</t>
  </si>
  <si>
    <t>Other Noncurrent Assets</t>
  </si>
  <si>
    <t>Other Noncurrent Liabilities</t>
  </si>
  <si>
    <t xml:space="preserve">Weighted Average Common Shares Outstanding </t>
  </si>
  <si>
    <t xml:space="preserve">Common Shares Outstanding at Balance Sheet Date </t>
  </si>
  <si>
    <t>Unearned Revenue, Less Current Portion</t>
  </si>
  <si>
    <t>Other Data:</t>
  </si>
  <si>
    <t xml:space="preserve">Local </t>
  </si>
  <si>
    <t>Other Intangible Assets - Net</t>
  </si>
  <si>
    <t>Revenue</t>
  </si>
  <si>
    <t>Cost of Services and Products</t>
  </si>
  <si>
    <t>Cumulative Effect of Change in Accounting Principle, Net of Taxes</t>
  </si>
  <si>
    <t>Senior Secured Debt to EBITDA Ratio - Calculated</t>
  </si>
  <si>
    <t>Senior Secured Debt to EBITDA Ratio - Required</t>
  </si>
  <si>
    <t>Interest Coverage Ratio - Calculated</t>
  </si>
  <si>
    <t>Interest Coverage Ratio - Required</t>
  </si>
  <si>
    <t>Debt to EBITDA Ratio - Calculated</t>
  </si>
  <si>
    <t>Debt to EBITDA Ratio - Required</t>
  </si>
  <si>
    <t>Current Portion of Unearned Revenue and Customer Deposits</t>
  </si>
  <si>
    <t xml:space="preserve">Goodwill </t>
  </si>
  <si>
    <t>Local Access Lines</t>
  </si>
  <si>
    <t>- Diluted</t>
  </si>
  <si>
    <t xml:space="preserve">- Basic </t>
  </si>
  <si>
    <t>Net Debt Calculation</t>
  </si>
  <si>
    <t>$</t>
  </si>
  <si>
    <t>Cincinnati Bell Telephone notes</t>
  </si>
  <si>
    <t>Less: Cash and Cash Equivalents</t>
  </si>
  <si>
    <t xml:space="preserve">   Net Debt (as defined by the company)</t>
  </si>
  <si>
    <t>Less adjustments:</t>
  </si>
  <si>
    <t>Net Debt</t>
  </si>
  <si>
    <t>Unamortized discount</t>
  </si>
  <si>
    <t>Broadband</t>
  </si>
  <si>
    <t>Liabilities and Shareowners' Deficit</t>
  </si>
  <si>
    <t xml:space="preserve">   Total Liabilities and Shareowners' Deficit</t>
  </si>
  <si>
    <t>Credit Facilities</t>
  </si>
  <si>
    <t>Preferred Stock Dividends</t>
  </si>
  <si>
    <t>Asset Impairments and Other Charges (Credits)</t>
  </si>
  <si>
    <t>Operating Income</t>
  </si>
  <si>
    <t>(dollars in millions)</t>
  </si>
  <si>
    <t>(in millions - except per share amounts)</t>
  </si>
  <si>
    <t>Cincinnati Bell Inc.</t>
  </si>
  <si>
    <t>Capital leases</t>
  </si>
  <si>
    <t>16% Senior subordinated notes of Cincinnati Bell Inc.</t>
  </si>
  <si>
    <t>Prepaid Wireless Subscribers</t>
  </si>
  <si>
    <t>Postpaid Wireless Subscribers</t>
  </si>
  <si>
    <t>Total Wireless Subscribers</t>
  </si>
  <si>
    <t>Consumer Long Distance Lines</t>
  </si>
  <si>
    <t>Business Long Distance Lines</t>
  </si>
  <si>
    <t>Complete Connections Subscribers</t>
  </si>
  <si>
    <t>Custom Connections Subscribers</t>
  </si>
  <si>
    <t>Total Long Distance Lines</t>
  </si>
  <si>
    <t>Gain on Sale of Broadband Assets</t>
  </si>
  <si>
    <t>7 1/4% Senior notes due 2023 of Cincinnati Bell Inc.</t>
  </si>
  <si>
    <t>7 1/4% Senior notes due 2013 of Cincinnati Bell Inc.</t>
  </si>
  <si>
    <t>Materials and Supplies</t>
  </si>
  <si>
    <t>Accounts Payable</t>
  </si>
  <si>
    <t>Accrued Taxes</t>
  </si>
  <si>
    <t>Reconciliation of Consolidated Revenue to Consolidated Revenue Excluding Broadband</t>
  </si>
  <si>
    <t>Reconciliation of Consolidated Operating Income to Consolidated Operating Income Excluding Broadband</t>
  </si>
  <si>
    <t>Consolidated Revenue and Operating Income Excluding Broadband</t>
  </si>
  <si>
    <t>Consolidated Revenue Excluding Broadband</t>
  </si>
  <si>
    <t>Broadband Revenue</t>
  </si>
  <si>
    <t>Broadband Intercompany Activity</t>
  </si>
  <si>
    <t>Consolidated Operating Income Excluding Broadband</t>
  </si>
  <si>
    <t>Other (Income) Expense, Net</t>
  </si>
  <si>
    <t>DSL Subscribers</t>
  </si>
  <si>
    <t>8 3/8% Senior notes due 2014 of Cincinnati Bell Inc.</t>
  </si>
  <si>
    <t>Current Portion of Long-Term Debt</t>
  </si>
  <si>
    <t xml:space="preserve">Credit Facility Availability </t>
  </si>
  <si>
    <t>Noncurrent Deferred Tax Assets</t>
  </si>
  <si>
    <t>Shareowners' Deficit</t>
  </si>
  <si>
    <t>Interest Expense and Other Financing Costs</t>
  </si>
  <si>
    <t>Segment Information</t>
  </si>
  <si>
    <t>Year-to-date Capital Expenditures - Restricted Group Actual</t>
  </si>
  <si>
    <t>Maximum Annual Capital Expenditures - Restricted Group Allowed</t>
  </si>
  <si>
    <t>1Q</t>
  </si>
  <si>
    <t>2Q</t>
  </si>
  <si>
    <t>3Q</t>
  </si>
  <si>
    <t>4Q</t>
  </si>
  <si>
    <t xml:space="preserve">   Total Debt</t>
  </si>
  <si>
    <t>Hardware &amp; Mgd. Services</t>
  </si>
  <si>
    <t xml:space="preserve">Restructuring </t>
  </si>
  <si>
    <t>Minority Interest Expense</t>
  </si>
  <si>
    <t>Net Income</t>
  </si>
  <si>
    <t>Basic Earnings Per Common Share</t>
  </si>
  <si>
    <t>Net Earnings Per Common Share</t>
  </si>
  <si>
    <t>Diluted Earnings Per Common Share</t>
  </si>
  <si>
    <t>(in millions - except debt covenants and segment metric information)</t>
  </si>
  <si>
    <t>Segment Metric Information (in thousands):</t>
  </si>
  <si>
    <t>Debt Covenants:</t>
  </si>
  <si>
    <t>Broadband Operating Income</t>
  </si>
  <si>
    <t>Other short-term debt</t>
  </si>
  <si>
    <t>Cincinnati Bell Telephone</t>
  </si>
  <si>
    <t>Other</t>
  </si>
  <si>
    <t>Consolidated Statements of Cash Flows</t>
  </si>
  <si>
    <t>Consolidated Cash Flow</t>
  </si>
  <si>
    <t xml:space="preserve">Cash provided by operating activities </t>
  </si>
  <si>
    <t>Capital expenditures</t>
  </si>
  <si>
    <t>Proceeds from sale of assets</t>
  </si>
  <si>
    <t>Cash used in investing activities</t>
  </si>
  <si>
    <t>Issuance of long-term debt</t>
  </si>
  <si>
    <t>Repayment of long-term debt</t>
  </si>
  <si>
    <t>Short-term borrowings (repayments), net</t>
  </si>
  <si>
    <t>Debt issuance costs</t>
  </si>
  <si>
    <t>Issuance of common shares - exercise of stock options</t>
  </si>
  <si>
    <t>Preferred stock dividends paid</t>
  </si>
  <si>
    <t>Cash used in financing activities</t>
  </si>
  <si>
    <t>Cash and cash equivalents at beginning of period</t>
  </si>
  <si>
    <t>Cash and cash equivalents at end of period</t>
  </si>
  <si>
    <t>Reconciliation of GAAP Cash Flow to Cash Flow as defined by the company</t>
  </si>
  <si>
    <t>Issuance of long-term debt (financing activities)</t>
  </si>
  <si>
    <t>Repayment of long-term debt (financing activities)</t>
  </si>
  <si>
    <t>Short-term borrowings (repayments), net (financing activities)</t>
  </si>
  <si>
    <t>Proceeds from sale of assets (investing activities)</t>
  </si>
  <si>
    <t xml:space="preserve">   Cash flow (as defined by the company)</t>
  </si>
  <si>
    <t>Cash Expenditures for Restructuring</t>
  </si>
  <si>
    <t>Income Tax Refunds / (Payments)</t>
  </si>
  <si>
    <t>Net Income Applicable to Common Shareowners</t>
  </si>
  <si>
    <t>10 Quarter Access Line Detail</t>
  </si>
  <si>
    <t>Access Lines</t>
  </si>
  <si>
    <t>Total Access Lines</t>
  </si>
  <si>
    <t>(in thousands)</t>
  </si>
  <si>
    <t>GSM:</t>
  </si>
  <si>
    <t>TDMA:</t>
  </si>
  <si>
    <t>Add: Interest Rate Swap Liability on 8 3/8% Notes due 2014</t>
  </si>
  <si>
    <t xml:space="preserve">
Change in Accounting Principle</t>
  </si>
  <si>
    <t xml:space="preserve">Income before Cumulative Effect of Change in Accounting Principle </t>
  </si>
  <si>
    <t>Income before Cumulative Effect of Change in Accounting Principle</t>
  </si>
  <si>
    <t xml:space="preserve">  Income before Income Taxes and Cumulative Effect of</t>
  </si>
  <si>
    <t>Ended September 30,</t>
  </si>
  <si>
    <t>For the Nine Months</t>
  </si>
  <si>
    <t>September 30,</t>
  </si>
  <si>
    <t>In-Territory:</t>
  </si>
  <si>
    <t xml:space="preserve">         Primary Residential</t>
  </si>
  <si>
    <t>Total In-Territory</t>
  </si>
  <si>
    <t>Out-of-Territory:</t>
  </si>
  <si>
    <t xml:space="preserve">         Secondary Residential</t>
  </si>
  <si>
    <t xml:space="preserve">         Business/Other</t>
  </si>
  <si>
    <t>Total Out-of-Territory</t>
  </si>
  <si>
    <t xml:space="preserve">   Voice</t>
  </si>
  <si>
    <t xml:space="preserve">   Data</t>
  </si>
  <si>
    <t xml:space="preserve">   Other services</t>
  </si>
  <si>
    <t xml:space="preserve">   Total revenue</t>
  </si>
  <si>
    <t>Operating Costs and Expenses:</t>
  </si>
  <si>
    <t xml:space="preserve">   Cost of services and products</t>
  </si>
  <si>
    <t xml:space="preserve">   Selling, general and administrative</t>
  </si>
  <si>
    <t xml:space="preserve">   Depreciation</t>
  </si>
  <si>
    <t xml:space="preserve">   Restructuring</t>
  </si>
  <si>
    <t xml:space="preserve">   Total operating costs and expenses</t>
  </si>
  <si>
    <t>Operating income</t>
  </si>
  <si>
    <t xml:space="preserve">   Service</t>
  </si>
  <si>
    <t xml:space="preserve">   Equipment</t>
  </si>
  <si>
    <t xml:space="preserve">   Amortization</t>
  </si>
  <si>
    <t xml:space="preserve">   Asset impairments and other charges</t>
  </si>
  <si>
    <t>Wireless</t>
  </si>
  <si>
    <t xml:space="preserve">   Hardware</t>
  </si>
  <si>
    <t xml:space="preserve">   Managed services</t>
  </si>
  <si>
    <t xml:space="preserve">   Gain on sale of assets</t>
  </si>
  <si>
    <t xml:space="preserve">Operating income </t>
  </si>
  <si>
    <t>Costs and Expenses:</t>
  </si>
  <si>
    <t xml:space="preserve">   Depreciation and amortization</t>
  </si>
  <si>
    <t xml:space="preserve">   Total costs and expenses</t>
  </si>
  <si>
    <t xml:space="preserve">   Broadband transport</t>
  </si>
  <si>
    <t xml:space="preserve">   Switched voice services</t>
  </si>
  <si>
    <t xml:space="preserve">   Data and Internet</t>
  </si>
  <si>
    <t xml:space="preserve">   Gain on sale of broadband assets</t>
  </si>
  <si>
    <t>n/m</t>
  </si>
  <si>
    <t>Consolidated Statements of Income</t>
  </si>
  <si>
    <t>Net increase in cash and cash equivalents</t>
  </si>
  <si>
    <t>Income Tax Expense (Benefit)</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</si>
</sst>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0.0_);\(#,##0.0\);&quot;--  &quot;"/>
    <numFmt numFmtId="167" formatCode="#,##0;[Red]\(#,##0\)"/>
    <numFmt numFmtId="168" formatCode="#,##0.0_);\(#,##0.0\)"/>
    <numFmt numFmtId="169" formatCode="_(&quot;$&quot;* #,##0.00_);[Red]\(&quot;$&quot;* #,##0.00\);_(&quot;$&quot;* &quot;-- &quot;_);_(@_)"/>
    <numFmt numFmtId="170" formatCode="_(* #,##0.00_);_(* \(#,##0.00\);_(* &quot;-&quot;_);_(@_)"/>
    <numFmt numFmtId="171" formatCode="0.0%"/>
    <numFmt numFmtId="172" formatCode="0.0"/>
    <numFmt numFmtId="173" formatCode="0%;\(0%\)"/>
    <numFmt numFmtId="174" formatCode="_(* #,##0.0_);_(* \(#,##0.0\);_(* &quot;-&quot;?_);_(@_)"/>
    <numFmt numFmtId="175" formatCode="#,##0.00_);\(#,##0.00\);&quot;--  &quot;"/>
    <numFmt numFmtId="176" formatCode="_(* #,##0.0_);_(* \(#,##0.0\);_(* &quot;-&quot;_);_(@_)"/>
    <numFmt numFmtId="177" formatCode="_(* #,##0.00_);_(* \(#,##0.00\);_(* &quot;--&quot;_);_(@_)"/>
    <numFmt numFmtId="178" formatCode="0.0000000000000"/>
    <numFmt numFmtId="179" formatCode="_(* #,##0_);_(* \(#,##0\);_(* &quot;-&quot;??_);_(@_)"/>
    <numFmt numFmtId="180" formatCode="_(&quot;$&quot;* #,##0.0_);_(&quot;$&quot;* \(#,##0.0\);_(&quot;$&quot;* &quot;-&quot;?_);_(@_)"/>
    <numFmt numFmtId="181" formatCode="0.000"/>
    <numFmt numFmtId="182" formatCode="_(* #,##0.000_);_(* \(#,##0.000\);_(* &quot;-&quot;??_);_(@_)"/>
    <numFmt numFmtId="183" formatCode="_(* #,##0.0000_);_(* \(#,##0.0000\);_(* &quot;-&quot;??_);_(@_)"/>
    <numFmt numFmtId="184" formatCode="#,##0%_);\(#,##0%\)"/>
    <numFmt numFmtId="185" formatCode="0.0%;\(0.0%\)"/>
    <numFmt numFmtId="186" formatCode="#,##0.000_);\(#,##0.000\);&quot;--  &quot;"/>
    <numFmt numFmtId="187" formatCode="0.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00%\)"/>
    <numFmt numFmtId="198" formatCode="_(&quot;$&quot;* #,##0.00_);_(&quot;$&quot;* \(#,##0.00\);_(&quot;$&quot;* &quot;-&quot;?_);_(@_)"/>
    <numFmt numFmtId="199" formatCode="&quot;Yes&quot;;&quot;Yes&quot;;&quot;No&quot;"/>
    <numFmt numFmtId="200" formatCode="&quot;True&quot;;&quot;True&quot;;&quot;False&quot;"/>
    <numFmt numFmtId="201" formatCode="&quot;On&quot;;&quot;On&quot;;&quot;Off&quot;"/>
    <numFmt numFmtId="202" formatCode="#,##0.00;[Red]\(#,##0.00\)"/>
    <numFmt numFmtId="203" formatCode="#,##0.0;[Red]\(#,##0.0\)"/>
    <numFmt numFmtId="204" formatCode="#,##0.0000_);\(#,##0.0000\);&quot;--  &quot;"/>
    <numFmt numFmtId="205" formatCode="0%;\(0%\);&quot;--&quot;"/>
    <numFmt numFmtId="206" formatCode="#,##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_(* #,##0.00000_);_(* \(#,##0.00000\);_(* &quot;-&quot;??_);_(@_)"/>
    <numFmt numFmtId="212" formatCode="_(* #,##0.000000_);_(* \(#,##0.000000\);_(* &quot;-&quot;??_);_(@_)"/>
    <numFmt numFmtId="213" formatCode="#,##0.000;[Red]\(#,##0.000\)"/>
    <numFmt numFmtId="214" formatCode="#,##0.0000;[Red]\(#,##0.0000\)"/>
  </numFmts>
  <fonts count="11">
    <font>
      <sz val="10"/>
      <name val="Arial"/>
      <family val="0"/>
    </font>
    <font>
      <b/>
      <sz val="10"/>
      <name val="Arial"/>
      <family val="2"/>
    </font>
    <font>
      <i/>
      <u val="single"/>
      <sz val="10"/>
      <name val="Arial"/>
      <family val="2"/>
    </font>
    <font>
      <u val="single"/>
      <sz val="10"/>
      <name val="Arial"/>
      <family val="2"/>
    </font>
    <font>
      <u val="single"/>
      <sz val="9"/>
      <color indexed="12"/>
      <name val="Arial"/>
      <family val="0"/>
    </font>
    <font>
      <u val="single"/>
      <sz val="9"/>
      <color indexed="36"/>
      <name val="Arial"/>
      <family val="0"/>
    </font>
    <font>
      <b/>
      <i/>
      <sz val="10"/>
      <name val="Arial"/>
      <family val="2"/>
    </font>
    <font>
      <b/>
      <sz val="8"/>
      <name val="Tahoma"/>
      <family val="0"/>
    </font>
    <font>
      <sz val="8"/>
      <name val="Tahoma"/>
      <family val="0"/>
    </font>
    <font>
      <u val="singleAccounting"/>
      <sz val="10"/>
      <name val="Arial"/>
      <family val="2"/>
    </font>
    <font>
      <b/>
      <sz val="8"/>
      <name val="Arial"/>
      <family val="2"/>
    </font>
  </fonts>
  <fills count="2">
    <fill>
      <patternFill/>
    </fill>
    <fill>
      <patternFill patternType="gray125"/>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37" fontId="1" fillId="0" borderId="1">
      <alignment/>
      <protection/>
    </xf>
    <xf numFmtId="0" fontId="4" fillId="0" borderId="0" applyNumberFormat="0" applyFill="0" applyBorder="0" applyAlignment="0" applyProtection="0"/>
    <xf numFmtId="166" fontId="0" fillId="0" borderId="0">
      <alignment/>
      <protection/>
    </xf>
    <xf numFmtId="166" fontId="0" fillId="0" borderId="0">
      <alignment/>
      <protection/>
    </xf>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166" fontId="0" fillId="0" borderId="0" xfId="23" applyFont="1" applyFill="1" applyBorder="1">
      <alignment/>
      <protection/>
    </xf>
    <xf numFmtId="166" fontId="0" fillId="0" borderId="0" xfId="23" applyFont="1" applyFill="1" applyBorder="1">
      <alignment/>
      <protection/>
    </xf>
    <xf numFmtId="0" fontId="1" fillId="0" borderId="0" xfId="0" applyFont="1" applyFill="1" applyAlignment="1">
      <alignment/>
    </xf>
    <xf numFmtId="0" fontId="0" fillId="0" borderId="0" xfId="0" applyFill="1" applyAlignment="1">
      <alignment/>
    </xf>
    <xf numFmtId="9" fontId="0" fillId="0" borderId="0" xfId="24" applyFill="1" applyAlignment="1">
      <alignment horizontal="center"/>
    </xf>
    <xf numFmtId="0" fontId="0" fillId="0" borderId="0" xfId="0" applyFill="1" applyAlignment="1">
      <alignment horizontal="centerContinuous"/>
    </xf>
    <xf numFmtId="0" fontId="0" fillId="0" borderId="2" xfId="0" applyFill="1" applyBorder="1" applyAlignment="1">
      <alignment horizontal="center"/>
    </xf>
    <xf numFmtId="0" fontId="0" fillId="0" borderId="0" xfId="0" applyFill="1" applyAlignment="1">
      <alignment horizontal="center"/>
    </xf>
    <xf numFmtId="9" fontId="0" fillId="0" borderId="2" xfId="24" applyFill="1" applyBorder="1" applyAlignment="1">
      <alignment horizontal="center"/>
    </xf>
    <xf numFmtId="166" fontId="2" fillId="0" borderId="0" xfId="23" applyFont="1" applyFill="1" applyAlignment="1">
      <alignment horizontal="left"/>
      <protection/>
    </xf>
    <xf numFmtId="3" fontId="0" fillId="0" borderId="0" xfId="23" applyNumberFormat="1" applyFont="1" applyFill="1" applyBorder="1" applyAlignment="1">
      <alignment horizontal="left" indent="1"/>
      <protection/>
    </xf>
    <xf numFmtId="165" fontId="0" fillId="0" borderId="0" xfId="17" applyNumberFormat="1" applyFont="1" applyFill="1" applyAlignment="1">
      <alignment/>
    </xf>
    <xf numFmtId="173" fontId="0" fillId="0" borderId="0" xfId="24" applyNumberFormat="1" applyFill="1" applyAlignment="1">
      <alignment horizontal="center"/>
    </xf>
    <xf numFmtId="166" fontId="0" fillId="0" borderId="0" xfId="23" applyFont="1" applyFill="1">
      <alignment/>
      <protection/>
    </xf>
    <xf numFmtId="166" fontId="0" fillId="0" borderId="0" xfId="23" applyFont="1" applyFill="1" applyBorder="1" applyAlignment="1">
      <alignment horizontal="left" indent="2"/>
      <protection/>
    </xf>
    <xf numFmtId="167" fontId="0" fillId="0" borderId="0" xfId="23" applyNumberFormat="1" applyFont="1" applyFill="1" applyAlignment="1">
      <alignment horizontal="left"/>
      <protection/>
    </xf>
    <xf numFmtId="166" fontId="2" fillId="0" borderId="0" xfId="23" applyFont="1" applyFill="1" applyBorder="1" applyAlignment="1">
      <alignment horizontal="left"/>
      <protection/>
    </xf>
    <xf numFmtId="3" fontId="0" fillId="0" borderId="0" xfId="23" applyNumberFormat="1" applyFont="1" applyFill="1" applyBorder="1" applyAlignment="1">
      <alignment horizontal="left" indent="2"/>
      <protection/>
    </xf>
    <xf numFmtId="166" fontId="0" fillId="0" borderId="0" xfId="22" applyFont="1" applyFill="1" applyBorder="1" applyAlignment="1">
      <alignment horizontal="left" indent="1"/>
      <protection/>
    </xf>
    <xf numFmtId="44" fontId="0" fillId="0" borderId="0" xfId="17" applyFont="1" applyFill="1" applyBorder="1" applyAlignment="1">
      <alignment horizontal="left"/>
    </xf>
    <xf numFmtId="3" fontId="0" fillId="0" borderId="0" xfId="23" applyNumberFormat="1" applyFont="1" applyFill="1" applyBorder="1" applyAlignment="1">
      <alignment horizontal="left" indent="2"/>
      <protection/>
    </xf>
    <xf numFmtId="3" fontId="0" fillId="0" borderId="0" xfId="23" applyNumberFormat="1" applyFont="1" applyFill="1" applyBorder="1" applyAlignment="1">
      <alignment horizontal="left"/>
      <protection/>
    </xf>
    <xf numFmtId="165" fontId="0" fillId="0" borderId="0" xfId="17" applyNumberFormat="1" applyFont="1" applyFill="1" applyBorder="1" applyAlignment="1">
      <alignment/>
    </xf>
    <xf numFmtId="0" fontId="3" fillId="0" borderId="0" xfId="0" applyFont="1" applyFill="1" applyAlignment="1">
      <alignment/>
    </xf>
    <xf numFmtId="0" fontId="0" fillId="0" borderId="0" xfId="0" applyFont="1" applyFill="1" applyAlignment="1" applyProtection="1">
      <alignment horizontal="left" indent="1"/>
      <protection/>
    </xf>
    <xf numFmtId="44" fontId="0" fillId="0" borderId="0" xfId="0" applyNumberFormat="1" applyFill="1" applyAlignment="1">
      <alignment/>
    </xf>
    <xf numFmtId="0" fontId="0" fillId="0" borderId="0" xfId="0" applyFont="1" applyFill="1" applyAlignment="1" applyProtection="1">
      <alignment horizontal="left" indent="2"/>
      <protection/>
    </xf>
    <xf numFmtId="0" fontId="0" fillId="0" borderId="0" xfId="0" applyFont="1" applyFill="1" applyAlignment="1" applyProtection="1" quotePrefix="1">
      <alignment horizontal="left" indent="1"/>
      <protection/>
    </xf>
    <xf numFmtId="166" fontId="0" fillId="0" borderId="0" xfId="0" applyNumberFormat="1" applyFill="1" applyAlignment="1">
      <alignment/>
    </xf>
    <xf numFmtId="0" fontId="0" fillId="0" borderId="0" xfId="0" applyFont="1" applyFill="1" applyAlignment="1" applyProtection="1">
      <alignment horizontal="left" indent="3"/>
      <protection/>
    </xf>
    <xf numFmtId="0" fontId="0" fillId="0" borderId="0" xfId="0" applyFill="1" applyBorder="1" applyAlignment="1">
      <alignment/>
    </xf>
    <xf numFmtId="0" fontId="0" fillId="0" borderId="0" xfId="0" applyBorder="1" applyAlignment="1">
      <alignment/>
    </xf>
    <xf numFmtId="165" fontId="0" fillId="0" borderId="0" xfId="0" applyNumberFormat="1" applyFill="1" applyAlignment="1">
      <alignment/>
    </xf>
    <xf numFmtId="180" fontId="0" fillId="0" borderId="0" xfId="0" applyNumberFormat="1" applyFill="1" applyAlignment="1">
      <alignment/>
    </xf>
    <xf numFmtId="9" fontId="1" fillId="0" borderId="0" xfId="24" applyFont="1" applyFill="1" applyAlignment="1">
      <alignment horizontal="center"/>
    </xf>
    <xf numFmtId="0" fontId="0" fillId="0" borderId="0" xfId="0" applyAlignment="1">
      <alignment horizontal="left" indent="1"/>
    </xf>
    <xf numFmtId="180" fontId="0" fillId="0" borderId="3" xfId="0" applyNumberFormat="1" applyFont="1" applyFill="1" applyBorder="1" applyAlignment="1">
      <alignment/>
    </xf>
    <xf numFmtId="0" fontId="1" fillId="0" borderId="0" xfId="0" applyFont="1" applyAlignment="1">
      <alignment horizontal="left"/>
    </xf>
    <xf numFmtId="2" fontId="0" fillId="0" borderId="0" xfId="0" applyNumberFormat="1" applyFill="1" applyAlignment="1" quotePrefix="1">
      <alignment/>
    </xf>
    <xf numFmtId="2" fontId="0" fillId="0" borderId="0" xfId="0" applyNumberFormat="1" applyFill="1" applyAlignment="1">
      <alignment/>
    </xf>
    <xf numFmtId="172" fontId="0" fillId="0" borderId="0" xfId="0" applyNumberFormat="1" applyFill="1" applyAlignment="1">
      <alignment/>
    </xf>
    <xf numFmtId="165" fontId="0" fillId="0" borderId="0" xfId="0" applyNumberFormat="1" applyFill="1" applyBorder="1" applyAlignment="1">
      <alignment/>
    </xf>
    <xf numFmtId="0" fontId="0" fillId="0" borderId="0" xfId="0" applyFont="1" applyFill="1" applyAlignment="1" applyProtection="1">
      <alignment horizontal="left" wrapText="1" indent="3"/>
      <protection/>
    </xf>
    <xf numFmtId="174" fontId="0" fillId="0" borderId="0" xfId="0" applyNumberFormat="1" applyFill="1" applyAlignment="1">
      <alignment/>
    </xf>
    <xf numFmtId="165" fontId="0" fillId="0" borderId="0" xfId="23" applyNumberFormat="1" applyFont="1" applyFill="1" applyBorder="1">
      <alignment/>
      <protection/>
    </xf>
    <xf numFmtId="44" fontId="0" fillId="0" borderId="0" xfId="17" applyFont="1" applyFill="1" applyBorder="1" applyAlignment="1">
      <alignment/>
    </xf>
    <xf numFmtId="174" fontId="0" fillId="0" borderId="2" xfId="0" applyNumberFormat="1" applyFill="1" applyBorder="1" applyAlignment="1">
      <alignment/>
    </xf>
    <xf numFmtId="9" fontId="0" fillId="0" borderId="0" xfId="24" applyFill="1" applyBorder="1" applyAlignment="1">
      <alignment horizontal="center"/>
    </xf>
    <xf numFmtId="164" fontId="0" fillId="0" borderId="0" xfId="0" applyNumberFormat="1" applyFill="1" applyAlignment="1">
      <alignment/>
    </xf>
    <xf numFmtId="175" fontId="0" fillId="0" borderId="0" xfId="0" applyNumberFormat="1" applyFill="1" applyAlignment="1">
      <alignment/>
    </xf>
    <xf numFmtId="43" fontId="0" fillId="0" borderId="0" xfId="0" applyNumberFormat="1" applyFill="1" applyAlignment="1">
      <alignment/>
    </xf>
    <xf numFmtId="0" fontId="0" fillId="0" borderId="0" xfId="0" applyFont="1" applyFill="1" applyBorder="1" applyAlignment="1">
      <alignment horizontal="center"/>
    </xf>
    <xf numFmtId="0" fontId="0" fillId="0" borderId="2" xfId="0" applyFont="1" applyFill="1" applyBorder="1" applyAlignment="1">
      <alignment horizontal="center"/>
    </xf>
    <xf numFmtId="0" fontId="0" fillId="0" borderId="2" xfId="0" applyFont="1" applyBorder="1" applyAlignment="1">
      <alignment horizontal="center"/>
    </xf>
    <xf numFmtId="197" fontId="0" fillId="0" borderId="0" xfId="24" applyNumberFormat="1" applyFill="1" applyAlignment="1">
      <alignment horizontal="center"/>
    </xf>
    <xf numFmtId="171" fontId="0" fillId="0" borderId="0" xfId="24" applyNumberFormat="1" applyFont="1" applyFill="1" applyAlignment="1">
      <alignment/>
    </xf>
    <xf numFmtId="166" fontId="0" fillId="0" borderId="0" xfId="0" applyNumberFormat="1" applyFont="1" applyFill="1" applyAlignment="1">
      <alignment/>
    </xf>
    <xf numFmtId="164" fontId="0" fillId="0" borderId="0" xfId="15" applyNumberFormat="1" applyFill="1" applyAlignment="1">
      <alignment/>
    </xf>
    <xf numFmtId="164" fontId="0" fillId="0" borderId="0" xfId="15" applyNumberFormat="1" applyFill="1" applyBorder="1" applyAlignment="1">
      <alignment/>
    </xf>
    <xf numFmtId="43" fontId="0" fillId="0" borderId="0" xfId="15" applyNumberFormat="1" applyFill="1" applyAlignment="1">
      <alignment/>
    </xf>
    <xf numFmtId="0" fontId="0" fillId="0" borderId="4" xfId="0" applyFill="1" applyBorder="1" applyAlignment="1">
      <alignment horizontal="centerContinuous"/>
    </xf>
    <xf numFmtId="0" fontId="0" fillId="0" borderId="5" xfId="0" applyFill="1" applyBorder="1" applyAlignment="1">
      <alignment horizontal="centerContinuous"/>
    </xf>
    <xf numFmtId="0" fontId="0" fillId="0" borderId="6" xfId="0" applyFill="1" applyBorder="1" applyAlignment="1">
      <alignment horizontal="centerContinuous"/>
    </xf>
    <xf numFmtId="9" fontId="0" fillId="0" borderId="0" xfId="24" applyFill="1" applyAlignment="1">
      <alignment horizontal="center"/>
    </xf>
    <xf numFmtId="9" fontId="0" fillId="0" borderId="2" xfId="24" applyFill="1" applyBorder="1" applyAlignment="1">
      <alignment horizontal="center"/>
    </xf>
    <xf numFmtId="173" fontId="0" fillId="0" borderId="0" xfId="24" applyNumberFormat="1" applyFill="1" applyAlignment="1">
      <alignment horizontal="center"/>
    </xf>
    <xf numFmtId="10" fontId="0" fillId="0" borderId="0" xfId="24" applyNumberFormat="1" applyFill="1" applyAlignment="1">
      <alignment/>
    </xf>
    <xf numFmtId="43" fontId="0" fillId="0" borderId="0" xfId="15" applyFill="1" applyAlignment="1">
      <alignment/>
    </xf>
    <xf numFmtId="43" fontId="0" fillId="0" borderId="0" xfId="15" applyFill="1" applyBorder="1" applyAlignment="1">
      <alignment/>
    </xf>
    <xf numFmtId="166" fontId="0" fillId="0" borderId="0" xfId="24" applyNumberFormat="1" applyFill="1" applyAlignment="1">
      <alignment horizontal="center"/>
    </xf>
    <xf numFmtId="9" fontId="0" fillId="0" borderId="0" xfId="24" applyFill="1" applyAlignment="1">
      <alignment/>
    </xf>
    <xf numFmtId="180" fontId="0" fillId="0" borderId="0" xfId="0" applyNumberFormat="1" applyFill="1" applyBorder="1" applyAlignment="1">
      <alignment/>
    </xf>
    <xf numFmtId="174" fontId="0" fillId="0" borderId="0" xfId="0" applyNumberFormat="1" applyFill="1" applyBorder="1" applyAlignment="1">
      <alignment/>
    </xf>
    <xf numFmtId="180" fontId="0" fillId="0" borderId="3" xfId="0" applyNumberFormat="1" applyFill="1" applyBorder="1" applyAlignment="1">
      <alignment/>
    </xf>
    <xf numFmtId="169" fontId="0" fillId="0" borderId="0" xfId="17" applyNumberFormat="1" applyFont="1" applyFill="1" applyAlignment="1">
      <alignment/>
    </xf>
    <xf numFmtId="44" fontId="0" fillId="0" borderId="0" xfId="17" applyFont="1" applyFill="1" applyBorder="1" applyAlignment="1" applyProtection="1">
      <alignment/>
      <protection/>
    </xf>
    <xf numFmtId="174" fontId="0" fillId="0" borderId="0" xfId="0" applyNumberFormat="1" applyFont="1" applyFill="1" applyAlignment="1">
      <alignment/>
    </xf>
    <xf numFmtId="0" fontId="0" fillId="0" borderId="0" xfId="0" applyFont="1" applyFill="1" applyAlignment="1">
      <alignment/>
    </xf>
    <xf numFmtId="166" fontId="0" fillId="0" borderId="2" xfId="23" applyFont="1" applyFill="1" applyBorder="1">
      <alignment/>
      <protection/>
    </xf>
    <xf numFmtId="166" fontId="0" fillId="0" borderId="0" xfId="23" applyFont="1" applyFill="1">
      <alignment/>
      <protection/>
    </xf>
    <xf numFmtId="166" fontId="0" fillId="0" borderId="2" xfId="23" applyFont="1" applyFill="1" applyBorder="1">
      <alignment/>
      <protection/>
    </xf>
    <xf numFmtId="165" fontId="0" fillId="0" borderId="3" xfId="17" applyNumberFormat="1" applyFont="1" applyFill="1" applyBorder="1" applyAlignment="1">
      <alignment/>
    </xf>
    <xf numFmtId="173" fontId="0" fillId="0" borderId="0" xfId="24" applyNumberFormat="1" applyFill="1" applyBorder="1" applyAlignment="1">
      <alignment horizontal="center"/>
    </xf>
    <xf numFmtId="44" fontId="0" fillId="0" borderId="0" xfId="24" applyNumberFormat="1" applyFill="1" applyAlignment="1">
      <alignment horizontal="center"/>
    </xf>
    <xf numFmtId="175" fontId="0" fillId="0" borderId="0" xfId="17" applyNumberFormat="1" applyFont="1" applyFill="1" applyBorder="1" applyAlignment="1" applyProtection="1">
      <alignment/>
      <protection/>
    </xf>
    <xf numFmtId="44" fontId="0" fillId="0" borderId="1" xfId="17" applyFont="1" applyFill="1" applyBorder="1" applyAlignment="1">
      <alignment/>
    </xf>
    <xf numFmtId="165" fontId="0" fillId="0" borderId="1" xfId="23" applyNumberFormat="1" applyFont="1" applyFill="1" applyBorder="1">
      <alignment/>
      <protection/>
    </xf>
    <xf numFmtId="165" fontId="0" fillId="0" borderId="0" xfId="17" applyNumberFormat="1" applyFill="1" applyAlignment="1">
      <alignment/>
    </xf>
    <xf numFmtId="164" fontId="0" fillId="0" borderId="0" xfId="15" applyNumberFormat="1" applyFont="1" applyFill="1" applyAlignment="1">
      <alignment horizontal="right"/>
    </xf>
    <xf numFmtId="165" fontId="0" fillId="0" borderId="1" xfId="17" applyNumberFormat="1" applyFill="1" applyBorder="1" applyAlignment="1">
      <alignment/>
    </xf>
    <xf numFmtId="164" fontId="0" fillId="0" borderId="0" xfId="15" applyNumberFormat="1" applyFont="1" applyFill="1" applyAlignment="1">
      <alignment/>
    </xf>
    <xf numFmtId="43" fontId="0" fillId="0" borderId="0" xfId="15" applyFill="1" applyAlignment="1">
      <alignment horizontal="center"/>
    </xf>
    <xf numFmtId="0" fontId="3" fillId="0" borderId="0" xfId="0" applyFont="1" applyFill="1" applyAlignment="1">
      <alignment horizontal="center"/>
    </xf>
    <xf numFmtId="174" fontId="0" fillId="0" borderId="1" xfId="0" applyNumberFormat="1" applyFill="1" applyBorder="1" applyAlignment="1">
      <alignment/>
    </xf>
    <xf numFmtId="0" fontId="1" fillId="0" borderId="0" xfId="0" applyFont="1" applyFill="1" applyAlignment="1">
      <alignment horizontal="center"/>
    </xf>
    <xf numFmtId="180" fontId="0" fillId="0" borderId="2" xfId="0" applyNumberFormat="1" applyFill="1" applyBorder="1" applyAlignment="1">
      <alignment/>
    </xf>
    <xf numFmtId="0" fontId="0" fillId="0" borderId="0" xfId="0" applyFill="1" applyAlignment="1">
      <alignment horizontal="left" indent="1"/>
    </xf>
    <xf numFmtId="174" fontId="0" fillId="0" borderId="7" xfId="0" applyNumberFormat="1" applyFill="1" applyBorder="1" applyAlignment="1">
      <alignment/>
    </xf>
    <xf numFmtId="0" fontId="0" fillId="0" borderId="0" xfId="0" applyAlignment="1">
      <alignment horizontal="left"/>
    </xf>
    <xf numFmtId="180" fontId="0" fillId="0" borderId="1" xfId="0" applyNumberFormat="1" applyFill="1" applyBorder="1" applyAlignment="1">
      <alignment/>
    </xf>
    <xf numFmtId="179" fontId="0" fillId="0" borderId="0" xfId="15" applyNumberFormat="1" applyFill="1" applyAlignment="1">
      <alignment/>
    </xf>
    <xf numFmtId="166" fontId="0" fillId="0" borderId="0" xfId="23" applyFont="1" applyFill="1" applyBorder="1" quotePrefix="1">
      <alignment/>
      <protection/>
    </xf>
    <xf numFmtId="167" fontId="0" fillId="0" borderId="0" xfId="23" applyNumberFormat="1" applyFont="1" applyFill="1">
      <alignment/>
      <protection/>
    </xf>
    <xf numFmtId="175" fontId="0" fillId="0" borderId="0" xfId="0" applyNumberFormat="1" applyFont="1" applyFill="1" applyBorder="1" applyAlignment="1" applyProtection="1">
      <alignment/>
      <protection/>
    </xf>
    <xf numFmtId="186" fontId="0" fillId="0" borderId="0" xfId="0" applyNumberFormat="1" applyFill="1" applyAlignment="1">
      <alignment/>
    </xf>
    <xf numFmtId="43" fontId="0" fillId="0" borderId="0" xfId="15" applyFill="1" applyAlignment="1">
      <alignment/>
    </xf>
    <xf numFmtId="165" fontId="0" fillId="0" borderId="0" xfId="23" applyNumberFormat="1" applyFont="1" applyFill="1" applyBorder="1">
      <alignment/>
      <protection/>
    </xf>
    <xf numFmtId="164" fontId="0" fillId="0" borderId="0" xfId="23" applyNumberFormat="1" applyFont="1" applyFill="1" applyBorder="1">
      <alignment/>
      <protection/>
    </xf>
    <xf numFmtId="164" fontId="0" fillId="0" borderId="0" xfId="15" applyNumberFormat="1" applyFill="1" applyAlignment="1">
      <alignment/>
    </xf>
    <xf numFmtId="164" fontId="0" fillId="0" borderId="1" xfId="15" applyNumberFormat="1" applyFont="1" applyFill="1" applyBorder="1" applyAlignment="1" quotePrefix="1">
      <alignment/>
    </xf>
    <xf numFmtId="0" fontId="0" fillId="0" borderId="0" xfId="0" applyFont="1" applyFill="1" applyAlignment="1">
      <alignment horizontal="center"/>
    </xf>
    <xf numFmtId="180" fontId="0" fillId="0" borderId="0" xfId="0" applyNumberFormat="1" applyFont="1" applyFill="1" applyAlignment="1">
      <alignment/>
    </xf>
    <xf numFmtId="174" fontId="0" fillId="0" borderId="2" xfId="0" applyNumberFormat="1" applyFont="1" applyFill="1" applyBorder="1" applyAlignment="1">
      <alignment/>
    </xf>
    <xf numFmtId="172" fontId="0" fillId="0" borderId="0" xfId="0" applyNumberFormat="1" applyAlignment="1">
      <alignment/>
    </xf>
    <xf numFmtId="0" fontId="0" fillId="0" borderId="0" xfId="0" applyFill="1" applyAlignment="1">
      <alignment horizontal="left" indent="2"/>
    </xf>
    <xf numFmtId="0" fontId="1" fillId="0" borderId="0" xfId="0" applyFont="1" applyFill="1" applyAlignment="1">
      <alignment horizontal="left"/>
    </xf>
    <xf numFmtId="9" fontId="0" fillId="0" borderId="0" xfId="24" applyFill="1" applyAlignment="1">
      <alignment/>
    </xf>
    <xf numFmtId="184" fontId="0" fillId="0" borderId="0" xfId="0" applyNumberFormat="1" applyFont="1" applyFill="1" applyAlignment="1">
      <alignment/>
    </xf>
    <xf numFmtId="43" fontId="0" fillId="0" borderId="0" xfId="15" applyFont="1" applyFill="1" applyAlignment="1">
      <alignment/>
    </xf>
    <xf numFmtId="9" fontId="0" fillId="0" borderId="0" xfId="24" applyFont="1" applyFill="1" applyAlignment="1">
      <alignment/>
    </xf>
    <xf numFmtId="164" fontId="0" fillId="0" borderId="0" xfId="15" applyNumberFormat="1" applyFill="1" applyAlignment="1">
      <alignment horizontal="center"/>
    </xf>
    <xf numFmtId="166" fontId="0" fillId="0" borderId="0" xfId="23" applyFont="1" applyFill="1" applyAlignment="1">
      <alignment horizontal="left"/>
      <protection/>
    </xf>
    <xf numFmtId="164" fontId="0" fillId="0" borderId="2" xfId="15" applyNumberFormat="1" applyFont="1" applyFill="1" applyBorder="1" applyAlignment="1">
      <alignment/>
    </xf>
    <xf numFmtId="164" fontId="0" fillId="0" borderId="0" xfId="15" applyNumberFormat="1" applyFont="1" applyFill="1" applyAlignment="1">
      <alignment horizontal="left"/>
    </xf>
    <xf numFmtId="164" fontId="0" fillId="0" borderId="0" xfId="15" applyNumberFormat="1" applyFont="1" applyFill="1" applyAlignment="1">
      <alignment/>
    </xf>
    <xf numFmtId="164" fontId="0" fillId="0" borderId="2" xfId="15" applyNumberFormat="1" applyFont="1" applyFill="1" applyBorder="1" applyAlignment="1">
      <alignment horizontal="left"/>
    </xf>
    <xf numFmtId="164" fontId="0" fillId="0" borderId="2" xfId="15" applyNumberFormat="1" applyFont="1" applyFill="1" applyBorder="1" applyAlignment="1">
      <alignment/>
    </xf>
    <xf numFmtId="43" fontId="6" fillId="0" borderId="0" xfId="15" applyFont="1" applyFill="1" applyAlignment="1">
      <alignment/>
    </xf>
    <xf numFmtId="3" fontId="0" fillId="0" borderId="0" xfId="23" applyNumberFormat="1" applyFont="1" applyFill="1" applyBorder="1" applyAlignment="1">
      <alignment horizontal="left" indent="1"/>
      <protection/>
    </xf>
    <xf numFmtId="167" fontId="0" fillId="0" borderId="0" xfId="23" applyNumberFormat="1" applyFont="1" applyFill="1" applyAlignment="1">
      <alignment horizontal="left"/>
      <protection/>
    </xf>
    <xf numFmtId="9" fontId="0" fillId="0" borderId="0" xfId="24" applyFont="1" applyFill="1" applyAlignment="1">
      <alignment horizontal="center"/>
    </xf>
    <xf numFmtId="0" fontId="0" fillId="0" borderId="0" xfId="0" applyFont="1" applyFill="1" applyAlignment="1">
      <alignment horizontal="centerContinuous"/>
    </xf>
    <xf numFmtId="9" fontId="0" fillId="0" borderId="2" xfId="24" applyFont="1" applyFill="1" applyBorder="1" applyAlignment="1">
      <alignment horizontal="center"/>
    </xf>
    <xf numFmtId="9" fontId="0" fillId="0" borderId="0" xfId="24" applyFont="1" applyFill="1" applyBorder="1" applyAlignment="1">
      <alignment horizontal="center"/>
    </xf>
    <xf numFmtId="165" fontId="0" fillId="0" borderId="0" xfId="17" applyNumberFormat="1" applyFont="1" applyFill="1" applyAlignment="1">
      <alignment/>
    </xf>
    <xf numFmtId="205" fontId="0" fillId="0" borderId="0" xfId="24" applyNumberFormat="1" applyFont="1" applyFill="1" applyAlignment="1">
      <alignment horizontal="center"/>
    </xf>
    <xf numFmtId="166" fontId="0" fillId="0" borderId="0" xfId="17" applyNumberFormat="1" applyFont="1" applyFill="1" applyAlignment="1">
      <alignment/>
    </xf>
    <xf numFmtId="166" fontId="0" fillId="0" borderId="2" xfId="17" applyNumberFormat="1" applyFont="1" applyFill="1" applyBorder="1" applyAlignment="1">
      <alignment/>
    </xf>
    <xf numFmtId="173" fontId="0" fillId="0" borderId="0" xfId="24" applyNumberFormat="1" applyFont="1" applyFill="1" applyAlignment="1">
      <alignment horizontal="center"/>
    </xf>
    <xf numFmtId="164" fontId="0" fillId="0" borderId="0" xfId="15"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Alignment="1">
      <alignment/>
    </xf>
    <xf numFmtId="202" fontId="0" fillId="0" borderId="0" xfId="23" applyNumberFormat="1" applyFont="1" applyFill="1">
      <alignment/>
      <protection/>
    </xf>
    <xf numFmtId="214" fontId="0" fillId="0" borderId="0" xfId="23" applyNumberFormat="1" applyFont="1" applyFill="1">
      <alignment/>
      <protection/>
    </xf>
    <xf numFmtId="165" fontId="0" fillId="0" borderId="0" xfId="0" applyNumberFormat="1" applyFont="1" applyFill="1" applyAlignment="1">
      <alignment/>
    </xf>
    <xf numFmtId="164" fontId="9" fillId="0" borderId="0" xfId="0" applyNumberFormat="1" applyFont="1" applyFill="1" applyAlignment="1">
      <alignment/>
    </xf>
    <xf numFmtId="164" fontId="0" fillId="0" borderId="2" xfId="0" applyNumberFormat="1" applyFont="1" applyFill="1" applyBorder="1" applyAlignment="1">
      <alignment/>
    </xf>
    <xf numFmtId="164" fontId="0" fillId="0" borderId="0" xfId="0" applyNumberFormat="1" applyFont="1" applyFill="1" applyAlignment="1">
      <alignment/>
    </xf>
    <xf numFmtId="164" fontId="9" fillId="0" borderId="0" xfId="15" applyNumberFormat="1" applyFont="1" applyFill="1" applyBorder="1" applyAlignment="1">
      <alignment/>
    </xf>
    <xf numFmtId="166" fontId="0" fillId="0" borderId="0" xfId="17" applyNumberFormat="1" applyFont="1" applyFill="1" applyBorder="1" applyAlignment="1">
      <alignment/>
    </xf>
    <xf numFmtId="173" fontId="0" fillId="0" borderId="0" xfId="24" applyNumberFormat="1" applyFont="1" applyFill="1" applyAlignment="1">
      <alignment horizontal="center"/>
    </xf>
    <xf numFmtId="43" fontId="0" fillId="0" borderId="0" xfId="15" applyFont="1"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wrapText="1"/>
    </xf>
    <xf numFmtId="0" fontId="0" fillId="0" borderId="2" xfId="0" applyFont="1" applyFill="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Grand Total" xfId="20"/>
    <cellStyle name="Hyperlink" xfId="21"/>
    <cellStyle name="Normal_Closing P&amp;L-13 Month" xfId="22"/>
    <cellStyle name="Normal_Closing P&amp;L-5 Qtr"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69</xdr:row>
      <xdr:rowOff>0</xdr:rowOff>
    </xdr:from>
    <xdr:to>
      <xdr:col>6</xdr:col>
      <xdr:colOff>542925</xdr:colOff>
      <xdr:row>69</xdr:row>
      <xdr:rowOff>0</xdr:rowOff>
    </xdr:to>
    <xdr:sp>
      <xdr:nvSpPr>
        <xdr:cNvPr id="1" name="TextBox 1"/>
        <xdr:cNvSpPr txBox="1">
          <a:spLocks noChangeArrowheads="1"/>
        </xdr:cNvSpPr>
      </xdr:nvSpPr>
      <xdr:spPr>
        <a:xfrm>
          <a:off x="38100" y="10687050"/>
          <a:ext cx="633412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 Beginning with the first quarter of 2004, the company is reporting its results in new segments based upon organizational changes made to better serve its customers. The company has formed a new segment, called Hardware and Managed Services, which contains the companys Cincinnati Bell Technology Solutions (CBTS) business, which was formerly reported in the Broadband segment.  CBTS now includes, in addition to its traditional data equipment and managed services businesses, the company’s business telecommunications equipment sales and operations, which were formerly reported as part of the Local segment.  The above results of the Local segment, Hardware and Managed Services segment and Broadband segment have been recast in all periods presented to conform with the new segment alignment.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vgrpcls1\CBI\finsys\Hyperion%20Reports\Brw02%20Reports\archived\A4.1%20&amp;%204.2%20(FCF%20&amp;%20OI)%20-%20Retrie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CF &amp; OI - Qrtly"/>
      <sheetName val="FCF &amp; OI - Month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59"/>
  <sheetViews>
    <sheetView zoomScale="90" zoomScaleNormal="90" workbookViewId="0" topLeftCell="B1">
      <selection activeCell="M24" sqref="M24"/>
    </sheetView>
  </sheetViews>
  <sheetFormatPr defaultColWidth="9.140625" defaultRowHeight="12.75"/>
  <cols>
    <col min="1" max="1" width="4.7109375" style="5" customWidth="1"/>
    <col min="2" max="2" width="70.140625" style="5" customWidth="1"/>
    <col min="3" max="3" width="10.8515625" style="5" customWidth="1"/>
    <col min="4" max="4" width="3.28125" style="5" customWidth="1"/>
    <col min="5" max="5" width="10.7109375" style="5" customWidth="1"/>
    <col min="6" max="6" width="3.57421875" style="5" customWidth="1"/>
    <col min="7" max="7" width="9.140625" style="65" customWidth="1"/>
    <col min="8" max="8" width="10.140625" style="65" customWidth="1"/>
    <col min="9" max="9" width="10.28125" style="5" customWidth="1"/>
    <col min="10" max="10" width="3.28125" style="5" customWidth="1"/>
    <col min="11" max="11" width="10.7109375" style="5" customWidth="1"/>
    <col min="12" max="12" width="3.57421875" style="5" customWidth="1"/>
    <col min="13" max="13" width="9.140625" style="65" customWidth="1"/>
    <col min="14" max="14" width="9.140625" style="5" customWidth="1"/>
    <col min="15" max="15" width="6.8515625" style="5" bestFit="1" customWidth="1"/>
    <col min="16" max="16" width="11.140625" style="5" bestFit="1" customWidth="1"/>
    <col min="17" max="16384" width="9.140625" style="5" customWidth="1"/>
  </cols>
  <sheetData>
    <row r="1" spans="1:13" ht="12.75">
      <c r="A1" s="4" t="s">
        <v>57</v>
      </c>
      <c r="B1" s="4"/>
      <c r="G1" s="36"/>
      <c r="H1" s="36"/>
      <c r="M1" s="36"/>
    </row>
    <row r="2" spans="1:2" ht="12.75">
      <c r="A2" s="4" t="s">
        <v>184</v>
      </c>
      <c r="B2" s="4"/>
    </row>
    <row r="3" spans="1:2" ht="12.75">
      <c r="A3" s="4" t="s">
        <v>1</v>
      </c>
      <c r="B3" s="4"/>
    </row>
    <row r="4" spans="3:9" ht="12.75">
      <c r="C4" s="102"/>
      <c r="I4" s="102"/>
    </row>
    <row r="5" ht="12.75">
      <c r="B5" s="5" t="s">
        <v>56</v>
      </c>
    </row>
    <row r="7" spans="3:11" ht="12.75">
      <c r="C7" s="7" t="s">
        <v>12</v>
      </c>
      <c r="D7" s="7"/>
      <c r="E7" s="7"/>
      <c r="I7" s="7" t="s">
        <v>147</v>
      </c>
      <c r="J7" s="7"/>
      <c r="K7" s="7"/>
    </row>
    <row r="8" spans="3:13" ht="12.75">
      <c r="C8" s="7" t="s">
        <v>146</v>
      </c>
      <c r="D8" s="7"/>
      <c r="E8" s="7"/>
      <c r="G8" s="65" t="s">
        <v>13</v>
      </c>
      <c r="I8" s="7" t="s">
        <v>146</v>
      </c>
      <c r="J8" s="7"/>
      <c r="K8" s="7"/>
      <c r="M8" s="65" t="s">
        <v>13</v>
      </c>
    </row>
    <row r="9" spans="3:13" ht="12.75">
      <c r="C9" s="8">
        <v>2004</v>
      </c>
      <c r="D9" s="9"/>
      <c r="E9" s="8">
        <v>2003</v>
      </c>
      <c r="G9" s="66" t="s">
        <v>14</v>
      </c>
      <c r="H9" s="66"/>
      <c r="I9" s="8">
        <v>2004</v>
      </c>
      <c r="J9" s="9"/>
      <c r="K9" s="8">
        <v>2003</v>
      </c>
      <c r="M9" s="66" t="s">
        <v>14</v>
      </c>
    </row>
    <row r="10" ht="12.75">
      <c r="B10" s="11"/>
    </row>
    <row r="11" spans="2:15" ht="12.75">
      <c r="B11" s="11" t="s">
        <v>26</v>
      </c>
      <c r="C11" s="46">
        <v>307.9</v>
      </c>
      <c r="D11" s="46"/>
      <c r="E11" s="46">
        <v>315.3</v>
      </c>
      <c r="G11" s="67">
        <f>IF(OR(E11=0,C11=0),"n/m",IF(ABS((C11-E11)/E11)&gt;2,"n/m",((C11-E11)/E11)))</f>
        <v>-0.023469711385981713</v>
      </c>
      <c r="H11" s="67"/>
      <c r="I11" s="46">
        <v>907.3</v>
      </c>
      <c r="J11" s="46"/>
      <c r="K11" s="46">
        <v>1246.6</v>
      </c>
      <c r="M11" s="67">
        <f>IF(OR(K11=0,I11=0),"n/m",IF(ABS((I11-K11)/K11)&gt;2,"n/m",((I11-K11)/K11)))</f>
        <v>-0.2721803304989571</v>
      </c>
      <c r="O11" s="50"/>
    </row>
    <row r="12" spans="2:13" ht="12.75">
      <c r="B12" s="17"/>
      <c r="C12" s="2"/>
      <c r="D12" s="59"/>
      <c r="E12" s="15"/>
      <c r="G12" s="67"/>
      <c r="H12" s="67"/>
      <c r="I12" s="2"/>
      <c r="J12" s="59"/>
      <c r="K12" s="15"/>
      <c r="M12" s="67"/>
    </row>
    <row r="13" spans="2:13" ht="12.75">
      <c r="B13" s="18" t="s">
        <v>15</v>
      </c>
      <c r="C13" s="2"/>
      <c r="D13" s="59"/>
      <c r="E13" s="15"/>
      <c r="G13" s="67"/>
      <c r="H13" s="67"/>
      <c r="I13" s="2"/>
      <c r="J13" s="59"/>
      <c r="K13" s="15"/>
      <c r="M13" s="67"/>
    </row>
    <row r="14" spans="2:15" ht="12.75">
      <c r="B14" s="12" t="s">
        <v>27</v>
      </c>
      <c r="C14" s="15">
        <v>118.3</v>
      </c>
      <c r="D14" s="15"/>
      <c r="E14" s="15">
        <v>122.5</v>
      </c>
      <c r="G14" s="67">
        <f aca="true" t="shared" si="0" ref="G14:G19">IF(OR(E14=0,C14=0),"n/m",IF(ABS((C14-E14)/E14)&gt;2,"n/m",((C14-E14)/E14)))</f>
        <v>-0.03428571428571431</v>
      </c>
      <c r="H14" s="67"/>
      <c r="I14" s="15">
        <v>361.4</v>
      </c>
      <c r="J14" s="15"/>
      <c r="K14" s="15">
        <v>551.2</v>
      </c>
      <c r="M14" s="67">
        <f aca="true" t="shared" si="1" ref="M14:M19">IF(OR(K14=0,I14=0),"n/m",IF(ABS((I14-K14)/K14)&gt;2,"n/m",((I14-K14)/K14)))</f>
        <v>-0.3443396226415095</v>
      </c>
      <c r="O14" s="42"/>
    </row>
    <row r="15" spans="2:15" ht="12.75">
      <c r="B15" s="12" t="s">
        <v>16</v>
      </c>
      <c r="C15" s="2">
        <v>53.9</v>
      </c>
      <c r="D15" s="2"/>
      <c r="E15" s="2">
        <v>60.7</v>
      </c>
      <c r="F15" s="32"/>
      <c r="G15" s="67">
        <f t="shared" si="0"/>
        <v>-0.11202635914332791</v>
      </c>
      <c r="H15" s="122"/>
      <c r="I15" s="2">
        <v>165.6</v>
      </c>
      <c r="J15" s="2"/>
      <c r="K15" s="2">
        <v>290.9</v>
      </c>
      <c r="L15" s="32"/>
      <c r="M15" s="67">
        <f t="shared" si="1"/>
        <v>-0.4307322103815744</v>
      </c>
      <c r="N15" s="32"/>
      <c r="O15" s="42"/>
    </row>
    <row r="16" spans="2:13" ht="12.75">
      <c r="B16" s="20" t="s">
        <v>17</v>
      </c>
      <c r="C16" s="81">
        <v>51.5</v>
      </c>
      <c r="D16" s="81"/>
      <c r="E16" s="81">
        <v>39.8</v>
      </c>
      <c r="G16" s="67">
        <f t="shared" si="0"/>
        <v>0.29396984924623126</v>
      </c>
      <c r="H16" s="93"/>
      <c r="I16" s="81">
        <v>142.8</v>
      </c>
      <c r="J16" s="81"/>
      <c r="K16" s="81">
        <v>121</v>
      </c>
      <c r="M16" s="67">
        <f t="shared" si="1"/>
        <v>0.18016528925619843</v>
      </c>
    </row>
    <row r="17" spans="2:14" ht="12.75">
      <c r="B17" s="20" t="s">
        <v>98</v>
      </c>
      <c r="C17" s="3">
        <v>0</v>
      </c>
      <c r="D17" s="3"/>
      <c r="E17" s="3">
        <v>0</v>
      </c>
      <c r="F17" s="32"/>
      <c r="G17" s="67" t="str">
        <f t="shared" si="0"/>
        <v>n/m</v>
      </c>
      <c r="H17" s="67"/>
      <c r="I17" s="3">
        <v>0.2</v>
      </c>
      <c r="J17" s="3"/>
      <c r="K17" s="3">
        <v>-3.4</v>
      </c>
      <c r="L17" s="32"/>
      <c r="M17" s="152" t="s">
        <v>183</v>
      </c>
      <c r="N17" s="32"/>
    </row>
    <row r="18" spans="2:14" ht="12.75">
      <c r="B18" s="20" t="s">
        <v>53</v>
      </c>
      <c r="C18" s="3">
        <v>1.6</v>
      </c>
      <c r="D18" s="3"/>
      <c r="E18" s="3">
        <v>0</v>
      </c>
      <c r="F18" s="32"/>
      <c r="G18" s="67" t="str">
        <f t="shared" si="0"/>
        <v>n/m</v>
      </c>
      <c r="H18" s="122"/>
      <c r="I18" s="3">
        <v>1.5</v>
      </c>
      <c r="J18" s="3"/>
      <c r="K18" s="3">
        <v>-0.7</v>
      </c>
      <c r="L18" s="32"/>
      <c r="M18" s="67" t="str">
        <f t="shared" si="1"/>
        <v>n/m</v>
      </c>
      <c r="N18" s="32"/>
    </row>
    <row r="19" spans="2:14" ht="12.75">
      <c r="B19" s="20" t="s">
        <v>68</v>
      </c>
      <c r="C19" s="80">
        <v>0</v>
      </c>
      <c r="D19" s="3"/>
      <c r="E19" s="80">
        <v>-37.3</v>
      </c>
      <c r="F19" s="32"/>
      <c r="G19" s="67" t="str">
        <f t="shared" si="0"/>
        <v>n/m</v>
      </c>
      <c r="H19" s="67"/>
      <c r="I19" s="80">
        <v>0</v>
      </c>
      <c r="J19" s="3"/>
      <c r="K19" s="80">
        <v>-336.3</v>
      </c>
      <c r="L19" s="32"/>
      <c r="M19" s="67" t="str">
        <f t="shared" si="1"/>
        <v>n/m</v>
      </c>
      <c r="N19" s="32"/>
    </row>
    <row r="20" spans="2:13" ht="12.75">
      <c r="B20" s="21"/>
      <c r="C20" s="103"/>
      <c r="D20" s="59"/>
      <c r="E20" s="15"/>
      <c r="G20" s="67"/>
      <c r="H20" s="67"/>
      <c r="I20" s="103"/>
      <c r="J20" s="59"/>
      <c r="K20" s="15"/>
      <c r="M20" s="67"/>
    </row>
    <row r="21" spans="2:13" ht="12.75">
      <c r="B21" s="22" t="s">
        <v>54</v>
      </c>
      <c r="C21" s="81">
        <f>C11-C14-C15-C16-C17-C18</f>
        <v>82.59999999999997</v>
      </c>
      <c r="D21" s="81"/>
      <c r="E21" s="81">
        <f>E11-E14-E15-E16-E17-E18-E19</f>
        <v>129.60000000000002</v>
      </c>
      <c r="G21" s="67">
        <f>IF(OR(E21=0,C21=0),"n/m",IF(ABS((C21-E21)/E21)&gt;2,"n/m",((C21-E21)/E21)))</f>
        <v>-0.3626543209876547</v>
      </c>
      <c r="H21" s="67"/>
      <c r="I21" s="81">
        <f>I11-I14-I15-I16-I17-I18-I19</f>
        <v>235.79999999999995</v>
      </c>
      <c r="J21" s="81"/>
      <c r="K21" s="81">
        <f>K11-K14-K15-K16-K17-K18-K19</f>
        <v>623.8999999999999</v>
      </c>
      <c r="M21" s="67">
        <f>IF(OR(K21=0,I21=0),"n/m",IF(ABS((I21-K21)/K21)&gt;2,"n/m",((I21-K21)/K21)))</f>
        <v>-0.6220548164769996</v>
      </c>
    </row>
    <row r="22" spans="2:13" ht="12.75">
      <c r="B22" s="17"/>
      <c r="C22" s="104"/>
      <c r="D22" s="59"/>
      <c r="E22" s="15"/>
      <c r="G22" s="67"/>
      <c r="H22" s="67"/>
      <c r="I22" s="104"/>
      <c r="J22" s="59"/>
      <c r="K22" s="15"/>
      <c r="M22" s="67"/>
    </row>
    <row r="23" spans="2:13" ht="12.75">
      <c r="B23" s="23" t="s">
        <v>99</v>
      </c>
      <c r="C23" s="81">
        <v>0.2</v>
      </c>
      <c r="D23" s="59"/>
      <c r="E23" s="15">
        <v>12.5</v>
      </c>
      <c r="G23" s="67">
        <f>IF(OR(E23=0,C23=0),"n/m",IF(ABS((C23-E23)/E23)&gt;2,"n/m",((C23-E23)/E23)))</f>
        <v>-0.9840000000000001</v>
      </c>
      <c r="H23" s="67"/>
      <c r="I23" s="81">
        <v>1.5</v>
      </c>
      <c r="J23" s="59"/>
      <c r="K23" s="15">
        <v>42.5</v>
      </c>
      <c r="M23" s="67">
        <f>IF(OR(K23=0,I23=0),"n/m",IF(ABS((I23-K23)/K23)&gt;2,"n/m",((I23-K23)/K23)))</f>
        <v>-0.9647058823529412</v>
      </c>
    </row>
    <row r="24" spans="2:13" ht="12.75">
      <c r="B24" s="23" t="s">
        <v>81</v>
      </c>
      <c r="C24" s="15">
        <f>-0.6-0.1</f>
        <v>-0.7</v>
      </c>
      <c r="D24" s="59"/>
      <c r="E24" s="15">
        <v>-0.1</v>
      </c>
      <c r="G24" s="67" t="str">
        <f>IF(OR(E24=0,C24=0),"n/m",IF(ABS((C24-E24)/E24)&gt;2,"n/m",((C24-E24)/E24)))</f>
        <v>n/m</v>
      </c>
      <c r="H24" s="67"/>
      <c r="I24" s="15">
        <f>-0.6-0.1</f>
        <v>-0.7</v>
      </c>
      <c r="J24" s="59"/>
      <c r="K24" s="15">
        <v>-0.7</v>
      </c>
      <c r="M24" s="93">
        <v>0</v>
      </c>
    </row>
    <row r="25" spans="2:13" ht="12.75">
      <c r="B25" s="23" t="s">
        <v>88</v>
      </c>
      <c r="C25" s="82">
        <v>50.6</v>
      </c>
      <c r="D25" s="59"/>
      <c r="E25" s="82">
        <f>67.2+17.4</f>
        <v>84.6</v>
      </c>
      <c r="G25" s="67">
        <f>IF(OR(E25=0,C25=0),"n/m",IF(ABS((C25-E25)/E25)&gt;2,"n/m",((C25-E25)/E25)))</f>
        <v>-0.4018912529550827</v>
      </c>
      <c r="H25" s="67"/>
      <c r="I25" s="82">
        <v>151.9</v>
      </c>
      <c r="J25" s="59"/>
      <c r="K25" s="82">
        <f>173.8+17.4</f>
        <v>191.20000000000002</v>
      </c>
      <c r="M25" s="67">
        <f>IF(OR(K25=0,I25=0),"n/m",IF(ABS((I25-K25)/K25)&gt;2,"n/m",((I25-K25)/K25)))</f>
        <v>-0.20554393305439334</v>
      </c>
    </row>
    <row r="26" spans="2:13" ht="12.75">
      <c r="B26" s="23"/>
      <c r="C26" s="2"/>
      <c r="D26" s="59"/>
      <c r="E26" s="15"/>
      <c r="G26" s="67"/>
      <c r="H26" s="67"/>
      <c r="I26" s="2"/>
      <c r="J26" s="59"/>
      <c r="K26" s="15"/>
      <c r="M26" s="67"/>
    </row>
    <row r="27" spans="2:13" ht="12.75">
      <c r="B27" s="16" t="s">
        <v>145</v>
      </c>
      <c r="C27" s="2"/>
      <c r="D27" s="59"/>
      <c r="E27" s="15"/>
      <c r="G27" s="67"/>
      <c r="H27" s="67"/>
      <c r="I27" s="2"/>
      <c r="J27" s="59"/>
      <c r="K27" s="15"/>
      <c r="M27" s="67"/>
    </row>
    <row r="28" spans="2:13" ht="13.5" customHeight="1">
      <c r="B28" s="44" t="s">
        <v>142</v>
      </c>
      <c r="C28" s="2">
        <f>C21-C23-C24-C25</f>
        <v>32.499999999999964</v>
      </c>
      <c r="D28" s="2"/>
      <c r="E28" s="2">
        <f>E21-E23-E24-E25</f>
        <v>32.60000000000002</v>
      </c>
      <c r="G28" s="93">
        <v>0</v>
      </c>
      <c r="H28" s="67"/>
      <c r="I28" s="2">
        <f>I21-I23-I24-I25</f>
        <v>83.09999999999994</v>
      </c>
      <c r="J28" s="2"/>
      <c r="K28" s="2">
        <f>K21-K23-K24-K25</f>
        <v>390.89999999999986</v>
      </c>
      <c r="M28" s="67">
        <f>IF(OR(K28=0,I28=0),"n/m",IF(ABS((I28-K28)/K28)&gt;2,"n/m",((I28-K28)/K28)))</f>
        <v>-0.787413660782809</v>
      </c>
    </row>
    <row r="29" spans="2:13" ht="12.75">
      <c r="B29" s="17"/>
      <c r="C29" s="15"/>
      <c r="D29" s="59"/>
      <c r="E29" s="15"/>
      <c r="G29" s="67"/>
      <c r="H29" s="67"/>
      <c r="I29" s="15"/>
      <c r="J29" s="59"/>
      <c r="K29" s="15"/>
      <c r="M29" s="67"/>
    </row>
    <row r="30" spans="2:14" ht="12.75">
      <c r="B30" s="23" t="s">
        <v>186</v>
      </c>
      <c r="C30" s="80">
        <v>15</v>
      </c>
      <c r="D30" s="60"/>
      <c r="E30" s="82">
        <v>-12.1</v>
      </c>
      <c r="F30" s="32"/>
      <c r="G30" s="67" t="str">
        <f>IF(OR(E30=0,C30=0),"n/m",IF(ABS((C30-E30)/E30)&gt;2,"n/m",((C30-E30)/E30)))</f>
        <v>n/m</v>
      </c>
      <c r="H30" s="67"/>
      <c r="I30" s="80">
        <v>39.8</v>
      </c>
      <c r="J30" s="60"/>
      <c r="K30" s="82">
        <v>-12.1</v>
      </c>
      <c r="L30" s="32"/>
      <c r="M30" s="67" t="str">
        <f>IF(OR(K30=0,I30=0),"n/m",IF(ABS((I30-K30)/K30)&gt;2,"n/m",((I30-K30)/K30)))</f>
        <v>n/m</v>
      </c>
      <c r="N30" s="32"/>
    </row>
    <row r="31" spans="2:14" ht="12.75">
      <c r="B31" s="23"/>
      <c r="C31" s="3"/>
      <c r="D31" s="60"/>
      <c r="E31" s="15"/>
      <c r="F31" s="32"/>
      <c r="G31" s="84"/>
      <c r="H31" s="84"/>
      <c r="I31" s="3"/>
      <c r="J31" s="60"/>
      <c r="K31" s="15"/>
      <c r="L31" s="32"/>
      <c r="M31" s="84"/>
      <c r="N31" s="32"/>
    </row>
    <row r="32" spans="2:13" ht="12.75">
      <c r="B32" s="31" t="s">
        <v>144</v>
      </c>
      <c r="C32" s="3">
        <f>C28-C30</f>
        <v>17.499999999999964</v>
      </c>
      <c r="D32" s="3"/>
      <c r="E32" s="3">
        <f>E28-E30</f>
        <v>44.700000000000024</v>
      </c>
      <c r="G32" s="67">
        <f>IF(OR(E32=0,C32=0),"n/m",IF(ABS((C32-E32)/E32)&gt;2,"n/m",((C32-E32)/E32)))</f>
        <v>-0.6085011185682336</v>
      </c>
      <c r="H32" s="67"/>
      <c r="I32" s="3">
        <f>I28-I30</f>
        <v>43.29999999999994</v>
      </c>
      <c r="J32" s="3"/>
      <c r="K32" s="3">
        <f>K28-K30</f>
        <v>402.9999999999999</v>
      </c>
      <c r="M32" s="67">
        <f>IF(OR(K32=0,I32=0),"n/m",IF(ABS((I32-K32)/K32)&gt;2,"n/m",((I32-K32)/K32)))</f>
        <v>-0.8925558312655087</v>
      </c>
    </row>
    <row r="33" spans="2:13" ht="12.75">
      <c r="B33" s="31"/>
      <c r="C33" s="3"/>
      <c r="D33" s="59"/>
      <c r="E33" s="15"/>
      <c r="G33" s="67"/>
      <c r="H33" s="67"/>
      <c r="I33" s="3"/>
      <c r="J33" s="59"/>
      <c r="K33" s="15"/>
      <c r="M33" s="67"/>
    </row>
    <row r="34" spans="2:14" ht="12.75">
      <c r="B34" s="23" t="s">
        <v>28</v>
      </c>
      <c r="C34" s="80">
        <v>0</v>
      </c>
      <c r="D34" s="3"/>
      <c r="E34" s="82">
        <v>0</v>
      </c>
      <c r="F34" s="3"/>
      <c r="G34" s="67" t="str">
        <f>IF(OR(E34=0,C34=0),"n/m",IF(ABS((C34-E34)/E34)&gt;2,"n/m",((C34-E34)/E34)))</f>
        <v>n/m</v>
      </c>
      <c r="H34" s="67"/>
      <c r="I34" s="80">
        <v>0</v>
      </c>
      <c r="J34" s="3"/>
      <c r="K34" s="82">
        <v>85.9</v>
      </c>
      <c r="L34" s="3"/>
      <c r="M34" s="67" t="str">
        <f>IF(OR(K34=0,I34=0),"n/m",IF(ABS((I34-K34)/K34)&gt;2,"n/m",((I34-K34)/K34)))</f>
        <v>n/m</v>
      </c>
      <c r="N34" s="3"/>
    </row>
    <row r="35" spans="2:13" ht="12.75">
      <c r="B35" s="23"/>
      <c r="C35" s="3"/>
      <c r="D35" s="60"/>
      <c r="E35" s="15"/>
      <c r="G35" s="67"/>
      <c r="H35" s="67"/>
      <c r="I35" s="3"/>
      <c r="J35" s="60"/>
      <c r="K35" s="15"/>
      <c r="M35" s="67"/>
    </row>
    <row r="36" spans="2:13" ht="12.75">
      <c r="B36" s="19" t="s">
        <v>100</v>
      </c>
      <c r="C36" s="2">
        <f>SUM(C32:C34)</f>
        <v>17.499999999999964</v>
      </c>
      <c r="D36" s="2"/>
      <c r="E36" s="2">
        <f>SUM(E32:E34)</f>
        <v>44.700000000000024</v>
      </c>
      <c r="G36" s="67">
        <f>IF(OR(E36=0,C36=0),"n/m",IF(ABS((C36-E36)/E36)&gt;2,"n/m",((C36-E36)/E36)))</f>
        <v>-0.6085011185682336</v>
      </c>
      <c r="H36" s="67"/>
      <c r="I36" s="2">
        <f>SUM(I32:I34)</f>
        <v>43.29999999999994</v>
      </c>
      <c r="J36" s="2"/>
      <c r="K36" s="2">
        <f>SUM(K32:K34)</f>
        <v>488.89999999999986</v>
      </c>
      <c r="M36" s="67">
        <f>IF(OR(K36=0,I36=0),"n/m",IF(ABS((I36-K36)/K36)&gt;2,"n/m",((I36-K36)/K36)))</f>
        <v>-0.9114338310492944</v>
      </c>
    </row>
    <row r="37" spans="3:13" ht="12.75">
      <c r="C37" s="104"/>
      <c r="D37" s="60"/>
      <c r="E37" s="15"/>
      <c r="G37" s="67"/>
      <c r="H37" s="67"/>
      <c r="I37" s="104"/>
      <c r="J37" s="60"/>
      <c r="K37" s="15"/>
      <c r="M37" s="67"/>
    </row>
    <row r="38" spans="2:13" ht="12.75">
      <c r="B38" s="5" t="s">
        <v>52</v>
      </c>
      <c r="C38" s="82">
        <v>2.6</v>
      </c>
      <c r="D38" s="60"/>
      <c r="E38" s="82">
        <v>2.6</v>
      </c>
      <c r="G38" s="93">
        <f>IF(OR(E38=0,C38=0),"n/m",IF(ABS((C38-E38)/E38)&gt;2,"n/m",((C38-E38)/E38)))</f>
        <v>0</v>
      </c>
      <c r="H38" s="93"/>
      <c r="I38" s="82">
        <v>7.8</v>
      </c>
      <c r="J38" s="60"/>
      <c r="K38" s="82">
        <v>7.8</v>
      </c>
      <c r="M38" s="93">
        <f>IF(OR(K38=0,I38=0),"n/m",IF(ABS((I38-K38)/K38)&gt;2,"n/m",((I38-K38)/K38)))</f>
        <v>0</v>
      </c>
    </row>
    <row r="39" spans="3:13" ht="12.75">
      <c r="C39" s="2"/>
      <c r="D39" s="60"/>
      <c r="E39" s="2"/>
      <c r="G39" s="67"/>
      <c r="H39" s="67"/>
      <c r="I39" s="2"/>
      <c r="J39" s="60"/>
      <c r="K39" s="2"/>
      <c r="M39" s="67"/>
    </row>
    <row r="40" spans="2:13" ht="13.5" thickBot="1">
      <c r="B40" s="5" t="s">
        <v>134</v>
      </c>
      <c r="C40" s="83">
        <f>C36-C38</f>
        <v>14.899999999999965</v>
      </c>
      <c r="D40" s="24"/>
      <c r="E40" s="83">
        <f>E36-E38</f>
        <v>42.10000000000002</v>
      </c>
      <c r="G40" s="67">
        <f>IF(OR(E40=0,C40=0),"n/m",IF(ABS((C40-E40)/E40)&gt;2,"n/m",((C40-E40)/E40)))</f>
        <v>-0.6460807600950129</v>
      </c>
      <c r="H40" s="67"/>
      <c r="I40" s="83">
        <f>I36-I38</f>
        <v>35.49999999999994</v>
      </c>
      <c r="J40" s="24"/>
      <c r="K40" s="83">
        <f>K36-K38</f>
        <v>481.09999999999985</v>
      </c>
      <c r="M40" s="67">
        <f>IF(OR(K40=0,I40=0),"n/m",IF(ABS((I40-K40)/K40)&gt;2,"n/m",((I40-K40)/K40)))</f>
        <v>-0.9262107669923094</v>
      </c>
    </row>
    <row r="41" spans="3:11" ht="13.5" thickTop="1">
      <c r="C41" s="2"/>
      <c r="D41" s="60"/>
      <c r="E41" s="2"/>
      <c r="I41" s="2"/>
      <c r="J41" s="60"/>
      <c r="K41" s="2"/>
    </row>
    <row r="42" spans="2:11" ht="12.75">
      <c r="B42" s="25" t="s">
        <v>101</v>
      </c>
      <c r="C42" s="76"/>
      <c r="D42" s="60"/>
      <c r="E42" s="76"/>
      <c r="I42" s="76"/>
      <c r="J42" s="60"/>
      <c r="K42" s="76"/>
    </row>
    <row r="43" spans="2:14" ht="12.75">
      <c r="B43" s="26" t="s">
        <v>143</v>
      </c>
      <c r="C43" s="77">
        <v>0.06</v>
      </c>
      <c r="D43" s="61"/>
      <c r="E43" s="77">
        <v>0.19</v>
      </c>
      <c r="F43" s="27"/>
      <c r="G43" s="85"/>
      <c r="H43" s="85"/>
      <c r="I43" s="77">
        <v>0.14</v>
      </c>
      <c r="J43" s="61"/>
      <c r="K43" s="77">
        <v>1.79</v>
      </c>
      <c r="L43" s="27"/>
      <c r="M43" s="85"/>
      <c r="N43" s="27"/>
    </row>
    <row r="44" spans="2:11" ht="12.75">
      <c r="B44" s="12" t="s">
        <v>28</v>
      </c>
      <c r="C44" s="105">
        <v>0</v>
      </c>
      <c r="D44" s="61"/>
      <c r="E44" s="86">
        <v>0</v>
      </c>
      <c r="I44" s="105">
        <v>0</v>
      </c>
      <c r="J44" s="61"/>
      <c r="K44" s="86">
        <v>0.39</v>
      </c>
    </row>
    <row r="45" spans="2:11" ht="13.5" thickBot="1">
      <c r="B45" s="28" t="s">
        <v>102</v>
      </c>
      <c r="C45" s="87">
        <f>SUM(C43:C44)</f>
        <v>0.06</v>
      </c>
      <c r="D45" s="61"/>
      <c r="E45" s="87">
        <f>SUM(E43:E44)</f>
        <v>0.19</v>
      </c>
      <c r="I45" s="87">
        <f>SUM(I43:I44)</f>
        <v>0.14</v>
      </c>
      <c r="J45" s="61"/>
      <c r="K45" s="87">
        <f>SUM(K43:K44)</f>
        <v>2.18</v>
      </c>
    </row>
    <row r="46" spans="2:11" ht="13.5" thickTop="1">
      <c r="B46" s="28"/>
      <c r="C46" s="47"/>
      <c r="D46" s="61"/>
      <c r="E46" s="47"/>
      <c r="I46" s="47"/>
      <c r="J46" s="61"/>
      <c r="K46" s="47"/>
    </row>
    <row r="47" spans="2:11" ht="12.75">
      <c r="B47" s="25" t="s">
        <v>103</v>
      </c>
      <c r="C47" s="76"/>
      <c r="D47" s="60"/>
      <c r="E47" s="76"/>
      <c r="I47" s="76"/>
      <c r="J47" s="60"/>
      <c r="K47" s="76"/>
    </row>
    <row r="48" spans="2:14" ht="12.75">
      <c r="B48" s="26" t="s">
        <v>143</v>
      </c>
      <c r="C48" s="77">
        <v>0.06</v>
      </c>
      <c r="D48" s="61"/>
      <c r="E48" s="77">
        <v>0.18</v>
      </c>
      <c r="F48" s="27"/>
      <c r="G48" s="85"/>
      <c r="H48" s="85"/>
      <c r="I48" s="77">
        <v>0.14</v>
      </c>
      <c r="J48" s="61"/>
      <c r="K48" s="77">
        <v>1.74</v>
      </c>
      <c r="L48" s="27"/>
      <c r="M48" s="85"/>
      <c r="N48" s="27"/>
    </row>
    <row r="49" spans="2:11" ht="12.75">
      <c r="B49" s="12" t="s">
        <v>28</v>
      </c>
      <c r="C49" s="105">
        <v>0</v>
      </c>
      <c r="D49" s="61"/>
      <c r="E49" s="86">
        <v>0</v>
      </c>
      <c r="I49" s="105">
        <v>0</v>
      </c>
      <c r="J49" s="61"/>
      <c r="K49" s="86">
        <v>0.37</v>
      </c>
    </row>
    <row r="50" spans="2:11" ht="13.5" thickBot="1">
      <c r="B50" s="28" t="s">
        <v>102</v>
      </c>
      <c r="C50" s="87">
        <f>SUM(C48:C49)</f>
        <v>0.06</v>
      </c>
      <c r="D50" s="61"/>
      <c r="E50" s="87">
        <f>SUM(E48:E49)</f>
        <v>0.18</v>
      </c>
      <c r="I50" s="87">
        <f>SUM(I48:I49)</f>
        <v>0.14</v>
      </c>
      <c r="J50" s="61"/>
      <c r="K50" s="87">
        <f>SUM(K48:K49)</f>
        <v>2.11</v>
      </c>
    </row>
    <row r="51" spans="2:11" ht="13.5" thickTop="1">
      <c r="B51" s="28"/>
      <c r="C51" s="47"/>
      <c r="D51" s="61"/>
      <c r="E51" s="47"/>
      <c r="I51" s="47"/>
      <c r="J51" s="61"/>
      <c r="K51" s="47"/>
    </row>
    <row r="52" spans="2:11" ht="12.75">
      <c r="B52" s="25" t="s">
        <v>20</v>
      </c>
      <c r="C52" s="104"/>
      <c r="D52" s="59"/>
      <c r="E52" s="2"/>
      <c r="I52" s="104"/>
      <c r="J52" s="59"/>
      <c r="K52" s="2"/>
    </row>
    <row r="53" spans="2:11" ht="12.75">
      <c r="B53" s="29" t="s">
        <v>39</v>
      </c>
      <c r="C53" s="2">
        <v>245.1</v>
      </c>
      <c r="D53" s="59"/>
      <c r="E53" s="2">
        <v>225.4</v>
      </c>
      <c r="I53" s="2">
        <v>245</v>
      </c>
      <c r="J53" s="59"/>
      <c r="K53" s="2">
        <v>221.1</v>
      </c>
    </row>
    <row r="54" spans="2:11" ht="12.75">
      <c r="B54" s="29" t="s">
        <v>38</v>
      </c>
      <c r="C54" s="2">
        <v>249.2</v>
      </c>
      <c r="D54" s="59"/>
      <c r="E54" s="2">
        <v>235.2</v>
      </c>
      <c r="I54" s="2">
        <v>251.1</v>
      </c>
      <c r="J54" s="59"/>
      <c r="K54" s="2">
        <v>232</v>
      </c>
    </row>
    <row r="55" spans="3:11" ht="12.75">
      <c r="C55" s="2"/>
      <c r="E55" s="104"/>
      <c r="I55" s="2"/>
      <c r="K55" s="104"/>
    </row>
    <row r="56" spans="3:14" ht="12.75">
      <c r="C56" s="30"/>
      <c r="D56" s="30"/>
      <c r="F56" s="30"/>
      <c r="G56" s="71"/>
      <c r="H56" s="71"/>
      <c r="I56" s="30"/>
      <c r="J56" s="30"/>
      <c r="L56" s="30"/>
      <c r="M56" s="71"/>
      <c r="N56" s="30"/>
    </row>
    <row r="57" spans="3:14" ht="12.75">
      <c r="C57" s="106"/>
      <c r="D57" s="30"/>
      <c r="E57" s="30"/>
      <c r="F57" s="30"/>
      <c r="G57" s="71"/>
      <c r="H57" s="71"/>
      <c r="I57" s="106"/>
      <c r="J57" s="30"/>
      <c r="K57" s="30"/>
      <c r="L57" s="30"/>
      <c r="M57" s="71"/>
      <c r="N57" s="30"/>
    </row>
    <row r="58" spans="3:14" ht="12.75">
      <c r="C58" s="51"/>
      <c r="D58" s="30"/>
      <c r="E58" s="51"/>
      <c r="F58" s="30"/>
      <c r="G58" s="71"/>
      <c r="H58" s="71"/>
      <c r="I58" s="51"/>
      <c r="J58" s="30"/>
      <c r="K58" s="51"/>
      <c r="L58" s="30"/>
      <c r="M58" s="71"/>
      <c r="N58" s="30"/>
    </row>
    <row r="59" spans="3:11" ht="12.75">
      <c r="C59" s="52"/>
      <c r="E59" s="52"/>
      <c r="I59" s="52"/>
      <c r="K59" s="52"/>
    </row>
  </sheetData>
  <printOptions/>
  <pageMargins left="0.75" right="0.75" top="1" bottom="1" header="0.5" footer="0.5"/>
  <pageSetup fitToHeight="1"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sheetPr>
    <pageSetUpPr fitToPage="1"/>
  </sheetPr>
  <dimension ref="A1:O97"/>
  <sheetViews>
    <sheetView tabSelected="1" workbookViewId="0" topLeftCell="A1">
      <selection activeCell="A1" sqref="A1"/>
    </sheetView>
  </sheetViews>
  <sheetFormatPr defaultColWidth="9.140625" defaultRowHeight="12.75"/>
  <cols>
    <col min="1" max="1" width="4.7109375" style="5" customWidth="1"/>
    <col min="2" max="2" width="52.57421875" style="5" bestFit="1" customWidth="1"/>
    <col min="3" max="3" width="12.421875" style="79" customWidth="1"/>
    <col min="4" max="4" width="3.28125" style="79" customWidth="1"/>
    <col min="5" max="5" width="10.8515625" style="79" customWidth="1"/>
    <col min="6" max="6" width="3.57421875" style="79" customWidth="1"/>
    <col min="7" max="7" width="9.140625" style="132" customWidth="1"/>
    <col min="8" max="8" width="9.00390625" style="132" customWidth="1"/>
    <col min="9" max="9" width="12.421875" style="79" customWidth="1"/>
    <col min="10" max="10" width="3.28125" style="79" customWidth="1"/>
    <col min="11" max="11" width="10.8515625" style="79" customWidth="1"/>
    <col min="12" max="12" width="3.57421875" style="79" customWidth="1"/>
    <col min="13" max="13" width="9.140625" style="132" customWidth="1"/>
    <col min="14" max="14" width="9.140625" style="5" customWidth="1"/>
    <col min="15" max="15" width="16.421875" style="5" customWidth="1"/>
    <col min="16" max="16384" width="9.140625" style="5" customWidth="1"/>
  </cols>
  <sheetData>
    <row r="1" spans="1:13" ht="12.75">
      <c r="A1" s="4" t="s">
        <v>57</v>
      </c>
      <c r="B1" s="4"/>
      <c r="G1" s="36"/>
      <c r="H1" s="36"/>
      <c r="M1" s="36"/>
    </row>
    <row r="2" spans="1:2" ht="12.75">
      <c r="A2" s="4" t="s">
        <v>89</v>
      </c>
      <c r="B2" s="4"/>
    </row>
    <row r="3" spans="1:2" ht="12.75">
      <c r="A3" s="4" t="s">
        <v>1</v>
      </c>
      <c r="B3" s="4"/>
    </row>
    <row r="4" spans="1:2" ht="12.75">
      <c r="A4" s="4"/>
      <c r="B4" s="4"/>
    </row>
    <row r="5" spans="4:11" ht="12.75">
      <c r="D5" s="133"/>
      <c r="E5" s="133"/>
      <c r="J5" s="133"/>
      <c r="K5" s="133"/>
    </row>
    <row r="6" spans="2:11" ht="12.75">
      <c r="B6" s="5" t="s">
        <v>55</v>
      </c>
      <c r="C6" s="133" t="s">
        <v>12</v>
      </c>
      <c r="D6" s="133"/>
      <c r="E6" s="133"/>
      <c r="I6" s="133" t="s">
        <v>147</v>
      </c>
      <c r="J6" s="133"/>
      <c r="K6" s="133"/>
    </row>
    <row r="7" spans="3:13" ht="12.75">
      <c r="C7" s="133" t="s">
        <v>146</v>
      </c>
      <c r="D7" s="133"/>
      <c r="E7" s="133"/>
      <c r="G7" s="132" t="s">
        <v>13</v>
      </c>
      <c r="I7" s="133" t="s">
        <v>146</v>
      </c>
      <c r="J7" s="133"/>
      <c r="K7" s="133"/>
      <c r="M7" s="132" t="s">
        <v>13</v>
      </c>
    </row>
    <row r="8" spans="2:13" ht="12.75">
      <c r="B8" s="69"/>
      <c r="C8" s="54">
        <v>2004</v>
      </c>
      <c r="D8" s="112"/>
      <c r="E8" s="54">
        <v>2003</v>
      </c>
      <c r="G8" s="134" t="s">
        <v>14</v>
      </c>
      <c r="H8" s="134"/>
      <c r="I8" s="54">
        <v>2004</v>
      </c>
      <c r="J8" s="112"/>
      <c r="K8" s="54">
        <v>2003</v>
      </c>
      <c r="M8" s="134" t="s">
        <v>14</v>
      </c>
    </row>
    <row r="9" spans="2:13" ht="12.75">
      <c r="B9" s="129" t="s">
        <v>24</v>
      </c>
      <c r="C9" s="53"/>
      <c r="D9" s="112"/>
      <c r="E9" s="53"/>
      <c r="G9" s="135"/>
      <c r="H9" s="135"/>
      <c r="I9" s="53"/>
      <c r="J9" s="112"/>
      <c r="K9" s="53"/>
      <c r="M9" s="135"/>
    </row>
    <row r="10" ht="12.75">
      <c r="B10" s="79" t="s">
        <v>26</v>
      </c>
    </row>
    <row r="11" spans="2:14" ht="12.75">
      <c r="B11" s="79" t="s">
        <v>156</v>
      </c>
      <c r="C11" s="136">
        <f>102.6+27.6-0.1</f>
        <v>130.1</v>
      </c>
      <c r="D11" s="126"/>
      <c r="E11" s="136">
        <f>106+27.7</f>
        <v>133.7</v>
      </c>
      <c r="F11" s="136"/>
      <c r="G11" s="137">
        <f aca="true" t="shared" si="0" ref="G11:G19">IF(OR(AND(E11=0,C11&lt;&gt;0),AND(C11=0,E11&lt;&gt;0)),"n/m",IF(AND(E11=0,C11=0),0,IF(ABS((C11-E11)/E11)&gt;2,"n/m",((C11-E11)/E11))))</f>
        <v>-0.026925953627524268</v>
      </c>
      <c r="H11" s="137"/>
      <c r="I11" s="136">
        <f>308.4+83.1+0.1</f>
        <v>391.6</v>
      </c>
      <c r="J11" s="126"/>
      <c r="K11" s="136">
        <v>403.8</v>
      </c>
      <c r="M11" s="137">
        <f>IF(OR(AND(K11=0,I11&lt;&gt;0),AND(I11=0,K11&lt;&gt;0)),"n/m",IF(AND(K11=0,I11=0),0,IF(ABS((I11-K11)/K11)&gt;2,"n/m",((I11-K11)/K11))))</f>
        <v>-0.030212976721149056</v>
      </c>
      <c r="N11" s="13"/>
    </row>
    <row r="12" spans="2:14" ht="12.75">
      <c r="B12" s="79" t="s">
        <v>157</v>
      </c>
      <c r="C12" s="138">
        <v>51</v>
      </c>
      <c r="D12" s="126"/>
      <c r="E12" s="138">
        <v>48.3</v>
      </c>
      <c r="F12" s="151"/>
      <c r="G12" s="137">
        <f t="shared" si="0"/>
        <v>0.055900621118012486</v>
      </c>
      <c r="H12" s="137"/>
      <c r="I12" s="138">
        <v>151.7</v>
      </c>
      <c r="J12" s="126"/>
      <c r="K12" s="138">
        <v>146.7</v>
      </c>
      <c r="M12" s="137">
        <f>IF(OR(AND(K12=0,I12&lt;&gt;0),AND(I12=0,K12&lt;&gt;0)),"n/m",IF(AND(K12=0,I12=0),0,IF(ABS((I12-K12)/K12)&gt;2,"n/m",((I12-K12)/K12))))</f>
        <v>0.03408316291751875</v>
      </c>
      <c r="N12" s="57"/>
    </row>
    <row r="13" spans="2:14" ht="12.75">
      <c r="B13" s="79" t="s">
        <v>158</v>
      </c>
      <c r="C13" s="139">
        <v>9.3</v>
      </c>
      <c r="D13" s="126"/>
      <c r="E13" s="139">
        <v>11.6</v>
      </c>
      <c r="F13" s="151"/>
      <c r="G13" s="137">
        <f t="shared" si="0"/>
        <v>-0.19827586206896544</v>
      </c>
      <c r="H13" s="137"/>
      <c r="I13" s="139">
        <v>27.7</v>
      </c>
      <c r="J13" s="126"/>
      <c r="K13" s="139">
        <v>32.1</v>
      </c>
      <c r="M13" s="137">
        <f>IF(OR(AND(K13=0,I13&lt;&gt;0),AND(I13=0,K13&lt;&gt;0)),"n/m",IF(AND(K13=0,I13=0),0,IF(ABS((I13-K13)/K13)&gt;2,"n/m",((I13-K13)/K13))))</f>
        <v>-0.13707165109034275</v>
      </c>
      <c r="N13" s="57"/>
    </row>
    <row r="14" spans="2:14" ht="12.75">
      <c r="B14" s="79" t="s">
        <v>159</v>
      </c>
      <c r="C14" s="3">
        <f>SUM(C11:C13)</f>
        <v>190.4</v>
      </c>
      <c r="D14" s="3"/>
      <c r="E14" s="3">
        <f>SUM(E11:E13)</f>
        <v>193.6</v>
      </c>
      <c r="F14" s="3"/>
      <c r="G14" s="137">
        <f t="shared" si="0"/>
        <v>-0.016528925619834652</v>
      </c>
      <c r="H14" s="137"/>
      <c r="I14" s="3">
        <f>SUM(I11:I13)</f>
        <v>571</v>
      </c>
      <c r="J14" s="126"/>
      <c r="K14" s="3">
        <f>SUM(K11:K13)</f>
        <v>582.6</v>
      </c>
      <c r="M14" s="137">
        <f>IF(OR(AND(K14=0,I14&lt;&gt;0),AND(I14=0,K14&lt;&gt;0)),"n/m",IF(AND(K14=0,I14=0),0,IF(ABS((I14-K14)/K14)&gt;2,"n/m",((I14-K14)/K14))))</f>
        <v>-0.01991074493649163</v>
      </c>
      <c r="N14" s="57"/>
    </row>
    <row r="15" spans="2:14" ht="6.75" customHeight="1">
      <c r="B15" s="79"/>
      <c r="C15" s="138"/>
      <c r="D15" s="126"/>
      <c r="E15" s="138"/>
      <c r="F15" s="142"/>
      <c r="G15" s="137"/>
      <c r="H15" s="137"/>
      <c r="I15" s="138"/>
      <c r="J15" s="126"/>
      <c r="K15" s="138"/>
      <c r="M15" s="137"/>
      <c r="N15" s="57"/>
    </row>
    <row r="16" spans="2:14" ht="12.75">
      <c r="B16" s="79" t="s">
        <v>160</v>
      </c>
      <c r="C16" s="81"/>
      <c r="D16" s="126"/>
      <c r="E16" s="81"/>
      <c r="G16" s="137"/>
      <c r="H16" s="137"/>
      <c r="I16" s="81"/>
      <c r="J16" s="126"/>
      <c r="K16" s="81"/>
      <c r="M16" s="137"/>
      <c r="N16" s="15"/>
    </row>
    <row r="17" spans="2:13" ht="12.75">
      <c r="B17" s="79" t="s">
        <v>161</v>
      </c>
      <c r="C17" s="3">
        <v>53.2</v>
      </c>
      <c r="D17" s="126"/>
      <c r="E17" s="3">
        <v>56.3</v>
      </c>
      <c r="G17" s="137">
        <f t="shared" si="0"/>
        <v>-0.05506216696269972</v>
      </c>
      <c r="H17" s="137"/>
      <c r="I17" s="3">
        <f>165.3+0.1</f>
        <v>165.4</v>
      </c>
      <c r="J17" s="126"/>
      <c r="K17" s="3">
        <v>175.1</v>
      </c>
      <c r="M17" s="137">
        <f aca="true" t="shared" si="1" ref="M17:M22">IF(OR(AND(K17=0,I17&lt;&gt;0),AND(I17=0,K17&lt;&gt;0)),"n/m",IF(AND(K17=0,I17=0),0,IF(ABS((I17-K17)/K17)&gt;2,"n/m",((I17-K17)/K17))))</f>
        <v>-0.055396916047972526</v>
      </c>
    </row>
    <row r="18" spans="2:14" ht="12.75">
      <c r="B18" s="79" t="s">
        <v>162</v>
      </c>
      <c r="C18" s="3">
        <v>33.1</v>
      </c>
      <c r="D18" s="126"/>
      <c r="E18" s="3">
        <v>29.3</v>
      </c>
      <c r="G18" s="137">
        <f t="shared" si="0"/>
        <v>0.12969283276450513</v>
      </c>
      <c r="H18" s="140"/>
      <c r="I18" s="3">
        <v>99.9</v>
      </c>
      <c r="J18" s="126"/>
      <c r="K18" s="3">
        <v>95.5</v>
      </c>
      <c r="M18" s="137">
        <f t="shared" si="1"/>
        <v>0.04607329842931943</v>
      </c>
      <c r="N18" s="68"/>
    </row>
    <row r="19" spans="2:13" ht="12.75">
      <c r="B19" s="79" t="s">
        <v>163</v>
      </c>
      <c r="C19" s="3">
        <v>29.9</v>
      </c>
      <c r="D19" s="126"/>
      <c r="E19" s="3">
        <f>31.5+0.1</f>
        <v>31.6</v>
      </c>
      <c r="G19" s="137">
        <f t="shared" si="0"/>
        <v>-0.053797468354430465</v>
      </c>
      <c r="H19" s="140"/>
      <c r="I19" s="3">
        <v>89.6</v>
      </c>
      <c r="J19" s="126"/>
      <c r="K19" s="3">
        <v>93.9</v>
      </c>
      <c r="M19" s="137">
        <f t="shared" si="1"/>
        <v>-0.04579339723109703</v>
      </c>
    </row>
    <row r="20" spans="2:13" ht="12.75">
      <c r="B20" s="79" t="s">
        <v>164</v>
      </c>
      <c r="C20" s="3">
        <v>0</v>
      </c>
      <c r="D20" s="126"/>
      <c r="E20" s="3">
        <v>0</v>
      </c>
      <c r="G20" s="137">
        <f>IF(OR(AND(E20=0,C20&lt;&gt;0),AND(C20=0,E20&lt;&gt;0)),"n/m",IF(AND(E20=0,C20=0),0,IF(ABS((C20-E20)/E20)&gt;2,"n/m",((C20-E20)/E20))))</f>
        <v>0</v>
      </c>
      <c r="H20" s="137"/>
      <c r="I20" s="3">
        <v>0.2</v>
      </c>
      <c r="J20" s="126"/>
      <c r="K20" s="3">
        <v>0</v>
      </c>
      <c r="M20" s="137" t="str">
        <f t="shared" si="1"/>
        <v>n/m</v>
      </c>
    </row>
    <row r="21" spans="2:13" ht="12.75">
      <c r="B21" s="79" t="s">
        <v>170</v>
      </c>
      <c r="C21" s="80">
        <v>0</v>
      </c>
      <c r="D21" s="126"/>
      <c r="E21" s="80">
        <v>0</v>
      </c>
      <c r="G21" s="137">
        <f>IF(OR(AND(E21=0,C21&lt;&gt;0),AND(C21=0,E21&lt;&gt;0)),"n/m",IF(AND(E21=0,C21=0),0,IF(ABS((C21-E21)/E21)&gt;2,"n/m",((C21-E21)/E21))))</f>
        <v>0</v>
      </c>
      <c r="H21" s="137"/>
      <c r="I21" s="80">
        <v>0</v>
      </c>
      <c r="J21" s="126"/>
      <c r="K21" s="80">
        <v>0.3</v>
      </c>
      <c r="M21" s="137" t="str">
        <f t="shared" si="1"/>
        <v>n/m</v>
      </c>
    </row>
    <row r="22" spans="2:13" ht="12.75">
      <c r="B22" s="79" t="s">
        <v>165</v>
      </c>
      <c r="C22" s="3">
        <f>SUM(C17:C21)</f>
        <v>116.20000000000002</v>
      </c>
      <c r="D22" s="126"/>
      <c r="E22" s="3">
        <f>SUM(E17:E21)</f>
        <v>117.19999999999999</v>
      </c>
      <c r="G22" s="137">
        <f>IF(OR(AND(E22=0,C22&lt;&gt;0),AND(C22=0,E22&lt;&gt;0)),"n/m",IF(AND(E22=0,C22=0),0,IF(ABS((C22-E22)/E22)&gt;2,"n/m",((C22-E22)/E22))))</f>
        <v>-0.008532423208190885</v>
      </c>
      <c r="H22" s="137"/>
      <c r="I22" s="3">
        <f>SUM(I17:I21)</f>
        <v>355.09999999999997</v>
      </c>
      <c r="J22" s="126"/>
      <c r="K22" s="3">
        <f>SUM(K17:K21)</f>
        <v>364.8</v>
      </c>
      <c r="M22" s="137">
        <f t="shared" si="1"/>
        <v>-0.02658991228070188</v>
      </c>
    </row>
    <row r="23" spans="2:14" ht="6" customHeight="1">
      <c r="B23" s="79"/>
      <c r="D23" s="141"/>
      <c r="F23" s="142"/>
      <c r="G23" s="137"/>
      <c r="H23" s="137"/>
      <c r="J23" s="141"/>
      <c r="L23" s="142"/>
      <c r="M23" s="137"/>
      <c r="N23" s="32"/>
    </row>
    <row r="24" spans="2:13" ht="13.5" thickBot="1">
      <c r="B24" s="79" t="s">
        <v>166</v>
      </c>
      <c r="C24" s="88">
        <f>C14-C22</f>
        <v>74.19999999999999</v>
      </c>
      <c r="D24" s="126"/>
      <c r="E24" s="88">
        <f>E14-E22</f>
        <v>76.4</v>
      </c>
      <c r="G24" s="137">
        <f>IF(OR(AND(E24=0,C24&lt;&gt;0),AND(C24=0,E24&lt;&gt;0)),"n/m",IF(AND(E24=0,C24=0),0,IF(ABS((C24-E24)/E24)&gt;2,"n/m",((C24-E24)/E24))))</f>
        <v>-0.02879581151832483</v>
      </c>
      <c r="H24" s="137"/>
      <c r="I24" s="88">
        <f>I14-I22</f>
        <v>215.90000000000003</v>
      </c>
      <c r="J24" s="126"/>
      <c r="K24" s="88">
        <f>K14-K22</f>
        <v>217.8</v>
      </c>
      <c r="M24" s="137">
        <f>IF(OR(AND(K24=0,I24&lt;&gt;0),AND(I24=0,K24&lt;&gt;0)),"n/m",IF(AND(K24=0,I24=0),0,IF(ABS((I24-K24)/K24)&gt;2,"n/m",((I24-K24)/K24))))</f>
        <v>-0.008723599632690437</v>
      </c>
    </row>
    <row r="25" spans="2:13" ht="13.5" thickTop="1">
      <c r="B25" s="130"/>
      <c r="C25" s="3"/>
      <c r="D25" s="126"/>
      <c r="E25" s="81"/>
      <c r="G25" s="137"/>
      <c r="H25" s="137"/>
      <c r="I25" s="3"/>
      <c r="J25" s="126"/>
      <c r="K25" s="81"/>
      <c r="M25" s="137"/>
    </row>
    <row r="26" spans="2:13" ht="12.75">
      <c r="B26" s="129" t="s">
        <v>171</v>
      </c>
      <c r="C26" s="3"/>
      <c r="D26" s="126"/>
      <c r="E26" s="81"/>
      <c r="G26" s="137"/>
      <c r="H26" s="137"/>
      <c r="I26" s="3"/>
      <c r="J26" s="126"/>
      <c r="K26" s="81"/>
      <c r="M26" s="137"/>
    </row>
    <row r="27" spans="2:13" ht="12.75">
      <c r="B27" s="79" t="s">
        <v>26</v>
      </c>
      <c r="C27" s="81"/>
      <c r="D27" s="126"/>
      <c r="E27" s="81"/>
      <c r="G27" s="140"/>
      <c r="H27" s="140"/>
      <c r="I27" s="81"/>
      <c r="J27" s="126"/>
      <c r="K27" s="81"/>
      <c r="M27" s="140"/>
    </row>
    <row r="28" spans="2:13" ht="12.75">
      <c r="B28" s="79" t="s">
        <v>167</v>
      </c>
      <c r="C28" s="146">
        <v>61.7</v>
      </c>
      <c r="D28" s="126"/>
      <c r="E28" s="146">
        <v>61.9</v>
      </c>
      <c r="G28" s="137">
        <v>0</v>
      </c>
      <c r="H28" s="137"/>
      <c r="I28" s="146">
        <v>184.9</v>
      </c>
      <c r="J28" s="126"/>
      <c r="K28" s="146">
        <v>187.7</v>
      </c>
      <c r="M28" s="137">
        <f aca="true" t="shared" si="2" ref="M28:M36">IF(OR(AND(K28=0,I28&lt;&gt;0),AND(I28=0,K28&lt;&gt;0)),"n/m",IF(AND(K28=0,I28=0),0,IF(ABS((I28-K28)/K28)&gt;2,"n/m",((I28-K28)/K28))))</f>
        <v>-0.014917421417154944</v>
      </c>
    </row>
    <row r="29" spans="2:13" ht="15">
      <c r="B29" s="79" t="s">
        <v>168</v>
      </c>
      <c r="C29" s="147">
        <v>4.5</v>
      </c>
      <c r="D29" s="126"/>
      <c r="E29" s="148">
        <v>3.2</v>
      </c>
      <c r="G29" s="137">
        <f aca="true" t="shared" si="3" ref="G29:G36">IF(OR(AND(E29=0,C29&lt;&gt;0),AND(C29=0,E29&lt;&gt;0)),"n/m",IF(AND(E29=0,C29=0),0,IF(ABS((C29-E29)/E29)&gt;2,"n/m",((C29-E29)/E29))))</f>
        <v>0.40624999999999994</v>
      </c>
      <c r="H29" s="137"/>
      <c r="I29" s="147">
        <v>12.5</v>
      </c>
      <c r="J29" s="126"/>
      <c r="K29" s="147">
        <v>9.2</v>
      </c>
      <c r="M29" s="137">
        <f t="shared" si="2"/>
        <v>0.35869565217391314</v>
      </c>
    </row>
    <row r="30" spans="2:15" ht="12.75">
      <c r="B30" s="79" t="s">
        <v>159</v>
      </c>
      <c r="C30" s="149">
        <f>SUM(C28:C29)</f>
        <v>66.2</v>
      </c>
      <c r="D30" s="126"/>
      <c r="E30" s="149">
        <f>SUM(E28:E29)</f>
        <v>65.1</v>
      </c>
      <c r="G30" s="137">
        <f t="shared" si="3"/>
        <v>0.016897081413210578</v>
      </c>
      <c r="H30" s="137"/>
      <c r="I30" s="149">
        <f>SUM(I28:I29)</f>
        <v>197.4</v>
      </c>
      <c r="J30" s="126"/>
      <c r="K30" s="149">
        <f>SUM(K28:K29)</f>
        <v>196.89999999999998</v>
      </c>
      <c r="M30" s="137">
        <v>0</v>
      </c>
      <c r="O30" s="69"/>
    </row>
    <row r="31" spans="2:15" ht="7.5" customHeight="1">
      <c r="B31" s="79"/>
      <c r="D31" s="126"/>
      <c r="G31" s="137"/>
      <c r="H31" s="137"/>
      <c r="J31" s="126"/>
      <c r="M31" s="137"/>
      <c r="O31" s="69"/>
    </row>
    <row r="32" spans="2:13" ht="12.75">
      <c r="B32" s="79" t="s">
        <v>160</v>
      </c>
      <c r="D32" s="126"/>
      <c r="G32" s="137"/>
      <c r="H32" s="137"/>
      <c r="J32" s="126"/>
      <c r="M32" s="137"/>
    </row>
    <row r="33" spans="2:15" ht="12.75">
      <c r="B33" s="79" t="s">
        <v>161</v>
      </c>
      <c r="C33" s="149">
        <v>30.3</v>
      </c>
      <c r="D33" s="126"/>
      <c r="E33" s="149">
        <v>26.9</v>
      </c>
      <c r="G33" s="137">
        <f t="shared" si="3"/>
        <v>0.12639405204460974</v>
      </c>
      <c r="H33" s="137"/>
      <c r="I33" s="149">
        <v>95.7</v>
      </c>
      <c r="J33" s="126"/>
      <c r="K33" s="149">
        <v>78.1</v>
      </c>
      <c r="M33" s="137">
        <f t="shared" si="2"/>
        <v>0.22535211267605645</v>
      </c>
      <c r="O33" s="69"/>
    </row>
    <row r="34" spans="2:14" ht="12.75">
      <c r="B34" s="79" t="s">
        <v>162</v>
      </c>
      <c r="C34" s="149">
        <v>13.3</v>
      </c>
      <c r="D34" s="141"/>
      <c r="E34" s="149">
        <v>11.3</v>
      </c>
      <c r="F34" s="142"/>
      <c r="G34" s="137">
        <f t="shared" si="3"/>
        <v>0.17699115044247787</v>
      </c>
      <c r="H34" s="137"/>
      <c r="I34" s="149">
        <v>38.8</v>
      </c>
      <c r="J34" s="141"/>
      <c r="K34" s="149">
        <v>35</v>
      </c>
      <c r="L34" s="142"/>
      <c r="M34" s="137">
        <f t="shared" si="2"/>
        <v>0.10857142857142849</v>
      </c>
      <c r="N34" s="70"/>
    </row>
    <row r="35" spans="2:14" ht="12.75">
      <c r="B35" s="79" t="s">
        <v>163</v>
      </c>
      <c r="C35" s="149">
        <v>14.7</v>
      </c>
      <c r="D35" s="141"/>
      <c r="E35" s="149">
        <v>7.4</v>
      </c>
      <c r="F35" s="142"/>
      <c r="G35" s="137">
        <f t="shared" si="3"/>
        <v>0.9864864864864863</v>
      </c>
      <c r="H35" s="153"/>
      <c r="I35" s="149">
        <v>43.9</v>
      </c>
      <c r="J35" s="141"/>
      <c r="K35" s="149">
        <v>22.5</v>
      </c>
      <c r="L35" s="142"/>
      <c r="M35" s="137">
        <f t="shared" si="2"/>
        <v>0.951111111111111</v>
      </c>
      <c r="N35" s="32"/>
    </row>
    <row r="36" spans="2:15" ht="12.75">
      <c r="B36" s="79" t="s">
        <v>169</v>
      </c>
      <c r="C36" s="149">
        <v>6.1</v>
      </c>
      <c r="D36" s="141"/>
      <c r="E36" s="149">
        <v>0.1</v>
      </c>
      <c r="F36" s="142"/>
      <c r="G36" s="137" t="str">
        <f t="shared" si="3"/>
        <v>n/m</v>
      </c>
      <c r="H36" s="153"/>
      <c r="I36" s="149">
        <v>7</v>
      </c>
      <c r="J36" s="141"/>
      <c r="K36" s="149">
        <v>0.3</v>
      </c>
      <c r="L36" s="142"/>
      <c r="M36" s="137" t="str">
        <f t="shared" si="2"/>
        <v>n/m</v>
      </c>
      <c r="N36" s="32"/>
      <c r="O36" s="69"/>
    </row>
    <row r="37" spans="2:14" ht="12.75">
      <c r="B37" s="79" t="s">
        <v>170</v>
      </c>
      <c r="C37" s="148">
        <v>1.745</v>
      </c>
      <c r="D37" s="141"/>
      <c r="E37" s="148">
        <v>0</v>
      </c>
      <c r="F37" s="142"/>
      <c r="G37" s="137" t="str">
        <f aca="true" t="shared" si="4" ref="G37:G46">IF(OR(AND(E37=0,C37&lt;&gt;0),AND(C37=0,E37&lt;&gt;0)),"n/m",IF(AND(E37=0,C37=0),0,IF(ABS((C37-E37)/E37)&gt;2,"n/m",((C37-E37)/E37))))</f>
        <v>n/m</v>
      </c>
      <c r="H37" s="137"/>
      <c r="I37" s="148">
        <v>4.2</v>
      </c>
      <c r="J37" s="141"/>
      <c r="K37" s="148">
        <v>0</v>
      </c>
      <c r="L37" s="142"/>
      <c r="M37" s="137" t="str">
        <f aca="true" t="shared" si="5" ref="M37:M46">IF(OR(AND(K37=0,I37&lt;&gt;0),AND(I37=0,K37&lt;&gt;0)),"n/m",IF(AND(K37=0,I37=0),0,IF(ABS((I37-K37)/K37)&gt;2,"n/m",((I37-K37)/K37))))</f>
        <v>n/m</v>
      </c>
      <c r="N37" s="32"/>
    </row>
    <row r="38" spans="2:14" ht="12.75">
      <c r="B38" s="79" t="s">
        <v>165</v>
      </c>
      <c r="C38" s="149">
        <f>SUM(C33:C37)</f>
        <v>66.145</v>
      </c>
      <c r="D38" s="141"/>
      <c r="E38" s="149">
        <f>SUM(E33:E37)</f>
        <v>45.7</v>
      </c>
      <c r="F38" s="142"/>
      <c r="G38" s="137">
        <f t="shared" si="4"/>
        <v>0.44737417943107205</v>
      </c>
      <c r="H38" s="137"/>
      <c r="I38" s="149">
        <f>SUM(I33:I37)</f>
        <v>189.6</v>
      </c>
      <c r="J38" s="141"/>
      <c r="K38" s="149">
        <f>SUM(K33:K37)</f>
        <v>135.9</v>
      </c>
      <c r="L38" s="142"/>
      <c r="M38" s="137">
        <f t="shared" si="5"/>
        <v>0.39514348785871956</v>
      </c>
      <c r="N38" s="32"/>
    </row>
    <row r="39" spans="2:14" ht="6" customHeight="1">
      <c r="B39" s="79"/>
      <c r="D39" s="141"/>
      <c r="F39" s="142"/>
      <c r="G39" s="137"/>
      <c r="H39" s="137"/>
      <c r="J39" s="141"/>
      <c r="L39" s="142"/>
      <c r="M39" s="137"/>
      <c r="N39" s="32"/>
    </row>
    <row r="40" spans="2:14" ht="13.5" thickBot="1">
      <c r="B40" s="79" t="s">
        <v>166</v>
      </c>
      <c r="C40" s="88">
        <f>C30-C38</f>
        <v>0.05500000000000682</v>
      </c>
      <c r="D40" s="141"/>
      <c r="E40" s="88">
        <f>E30-E38</f>
        <v>19.39999999999999</v>
      </c>
      <c r="F40" s="142"/>
      <c r="G40" s="137">
        <f t="shared" si="4"/>
        <v>-0.9971649484536079</v>
      </c>
      <c r="H40" s="137"/>
      <c r="I40" s="88">
        <f>I30-I38</f>
        <v>7.800000000000011</v>
      </c>
      <c r="J40" s="141"/>
      <c r="K40" s="88">
        <f>K30-K38</f>
        <v>60.99999999999997</v>
      </c>
      <c r="L40" s="142"/>
      <c r="M40" s="137">
        <f t="shared" si="5"/>
        <v>-0.8721311475409833</v>
      </c>
      <c r="N40" s="32"/>
    </row>
    <row r="41" spans="2:14" ht="13.5" thickTop="1">
      <c r="B41" s="79"/>
      <c r="C41" s="3"/>
      <c r="D41" s="141"/>
      <c r="E41" s="108"/>
      <c r="F41" s="142"/>
      <c r="G41" s="137"/>
      <c r="H41" s="137"/>
      <c r="I41" s="3"/>
      <c r="J41" s="141"/>
      <c r="K41" s="3"/>
      <c r="L41" s="142"/>
      <c r="M41" s="137"/>
      <c r="N41" s="32"/>
    </row>
    <row r="42" spans="2:14" ht="12.75">
      <c r="B42" s="129" t="s">
        <v>97</v>
      </c>
      <c r="C42" s="3"/>
      <c r="D42" s="141"/>
      <c r="E42" s="108"/>
      <c r="F42" s="142"/>
      <c r="G42" s="137"/>
      <c r="H42" s="137"/>
      <c r="I42" s="3"/>
      <c r="J42" s="141"/>
      <c r="K42" s="3"/>
      <c r="L42" s="142"/>
      <c r="M42" s="137"/>
      <c r="N42" s="32"/>
    </row>
    <row r="43" spans="2:14" ht="12.75">
      <c r="B43" s="79" t="s">
        <v>26</v>
      </c>
      <c r="C43" s="3"/>
      <c r="D43" s="141"/>
      <c r="E43" s="146"/>
      <c r="F43" s="142"/>
      <c r="G43" s="137"/>
      <c r="H43" s="137"/>
      <c r="I43" s="3"/>
      <c r="J43" s="141"/>
      <c r="K43" s="3"/>
      <c r="L43" s="142"/>
      <c r="M43" s="137"/>
      <c r="N43" s="32"/>
    </row>
    <row r="44" spans="2:13" ht="12.75">
      <c r="B44" s="79" t="s">
        <v>172</v>
      </c>
      <c r="C44" s="146">
        <v>24</v>
      </c>
      <c r="D44" s="126"/>
      <c r="E44" s="146">
        <f>18.4+4.4</f>
        <v>22.799999999999997</v>
      </c>
      <c r="G44" s="137">
        <f t="shared" si="4"/>
        <v>0.05263157894736855</v>
      </c>
      <c r="H44" s="137"/>
      <c r="I44" s="146">
        <v>56.9</v>
      </c>
      <c r="J44" s="126"/>
      <c r="K44" s="146">
        <f>15.6+17.4+18.4+4.5+4.2+4.4</f>
        <v>64.5</v>
      </c>
      <c r="M44" s="137">
        <f t="shared" si="5"/>
        <v>-0.11782945736434111</v>
      </c>
    </row>
    <row r="45" spans="2:13" ht="15">
      <c r="B45" s="79" t="s">
        <v>173</v>
      </c>
      <c r="C45" s="148">
        <v>14.6</v>
      </c>
      <c r="D45" s="126"/>
      <c r="E45" s="148">
        <v>19</v>
      </c>
      <c r="G45" s="137">
        <f t="shared" si="4"/>
        <v>-0.23157894736842108</v>
      </c>
      <c r="H45" s="140"/>
      <c r="I45" s="147">
        <f>101.1-I44</f>
        <v>44.199999999999996</v>
      </c>
      <c r="J45" s="126"/>
      <c r="K45" s="147">
        <v>54.7</v>
      </c>
      <c r="M45" s="137">
        <f t="shared" si="5"/>
        <v>-0.19195612431444253</v>
      </c>
    </row>
    <row r="46" spans="2:13" ht="12.75">
      <c r="B46" s="79" t="s">
        <v>159</v>
      </c>
      <c r="C46" s="141">
        <f>SUM(C44:C45)</f>
        <v>38.6</v>
      </c>
      <c r="D46" s="126"/>
      <c r="E46" s="141">
        <f>SUM(E44:E45)</f>
        <v>41.8</v>
      </c>
      <c r="G46" s="137">
        <f t="shared" si="4"/>
        <v>-0.07655502392344488</v>
      </c>
      <c r="H46" s="140"/>
      <c r="I46" s="146">
        <f>SUM(I44:I45)</f>
        <v>101.1</v>
      </c>
      <c r="J46" s="126"/>
      <c r="K46" s="141">
        <f>SUM(K44:K45)</f>
        <v>119.2</v>
      </c>
      <c r="M46" s="137">
        <f t="shared" si="5"/>
        <v>-0.1518456375838927</v>
      </c>
    </row>
    <row r="47" spans="2:15" ht="7.5" customHeight="1">
      <c r="B47" s="79"/>
      <c r="D47" s="126"/>
      <c r="G47" s="137"/>
      <c r="H47" s="137"/>
      <c r="J47" s="126"/>
      <c r="M47" s="137"/>
      <c r="O47" s="69"/>
    </row>
    <row r="48" spans="2:13" ht="12.75">
      <c r="B48" s="79" t="s">
        <v>160</v>
      </c>
      <c r="D48" s="126"/>
      <c r="G48" s="137"/>
      <c r="H48" s="137"/>
      <c r="J48" s="126"/>
      <c r="M48" s="137"/>
    </row>
    <row r="49" spans="2:13" ht="12.75">
      <c r="B49" s="79" t="s">
        <v>161</v>
      </c>
      <c r="C49" s="149">
        <v>31</v>
      </c>
      <c r="D49" s="126"/>
      <c r="E49" s="126">
        <v>31.3</v>
      </c>
      <c r="G49" s="137">
        <f aca="true" t="shared" si="6" ref="G49:G54">IF(OR(AND(E49=0,C49&lt;&gt;0),AND(C49=0,E49&lt;&gt;0)),"n/m",IF(AND(E49=0,C49=0),0,IF(ABS((C49-E49)/E49)&gt;2,"n/m",((C49-E49)/E49))))</f>
        <v>-0.009584664536741236</v>
      </c>
      <c r="H49" s="137"/>
      <c r="I49" s="149">
        <v>79.2</v>
      </c>
      <c r="J49" s="126"/>
      <c r="K49" s="126">
        <v>89.3</v>
      </c>
      <c r="M49" s="137">
        <f aca="true" t="shared" si="7" ref="M49:M54">IF(OR(AND(K49=0,I49&lt;&gt;0),AND(I49=0,K49&lt;&gt;0)),"n/m",IF(AND(K49=0,I49=0),0,IF(ABS((I49-K49)/K49)&gt;2,"n/m",((I49-K49)/K49))))</f>
        <v>-0.11310190369540868</v>
      </c>
    </row>
    <row r="50" spans="2:13" ht="12.75">
      <c r="B50" s="79" t="s">
        <v>162</v>
      </c>
      <c r="C50" s="149">
        <f>3.7+0.1</f>
        <v>3.8000000000000003</v>
      </c>
      <c r="D50" s="126"/>
      <c r="E50" s="126">
        <v>5.6</v>
      </c>
      <c r="G50" s="137">
        <f t="shared" si="6"/>
        <v>-0.32142857142857134</v>
      </c>
      <c r="H50" s="137"/>
      <c r="I50" s="149">
        <v>12.4</v>
      </c>
      <c r="J50" s="126"/>
      <c r="K50" s="126">
        <v>17.6</v>
      </c>
      <c r="M50" s="137">
        <f t="shared" si="7"/>
        <v>-0.29545454545454547</v>
      </c>
    </row>
    <row r="51" spans="2:13" ht="12.75">
      <c r="B51" s="79" t="s">
        <v>163</v>
      </c>
      <c r="C51" s="149">
        <v>0.2</v>
      </c>
      <c r="D51" s="126"/>
      <c r="E51" s="126">
        <v>0.2</v>
      </c>
      <c r="G51" s="137">
        <f t="shared" si="6"/>
        <v>0</v>
      </c>
      <c r="H51" s="137"/>
      <c r="I51" s="149">
        <v>0.7</v>
      </c>
      <c r="J51" s="126"/>
      <c r="K51" s="126">
        <v>0.4</v>
      </c>
      <c r="M51" s="137">
        <f t="shared" si="7"/>
        <v>0.7499999999999998</v>
      </c>
    </row>
    <row r="52" spans="2:13" ht="12.75">
      <c r="B52" s="79" t="s">
        <v>170</v>
      </c>
      <c r="C52" s="126">
        <v>0</v>
      </c>
      <c r="D52" s="126"/>
      <c r="E52" s="126">
        <v>0</v>
      </c>
      <c r="G52" s="137">
        <f t="shared" si="6"/>
        <v>0</v>
      </c>
      <c r="H52" s="137"/>
      <c r="I52" s="126">
        <v>-1.1</v>
      </c>
      <c r="J52" s="126"/>
      <c r="K52" s="126">
        <v>0</v>
      </c>
      <c r="M52" s="137" t="str">
        <f t="shared" si="7"/>
        <v>n/m</v>
      </c>
    </row>
    <row r="53" spans="2:14" ht="12.75">
      <c r="B53" s="79" t="s">
        <v>174</v>
      </c>
      <c r="C53" s="148">
        <v>0</v>
      </c>
      <c r="D53" s="141"/>
      <c r="E53" s="148">
        <v>0</v>
      </c>
      <c r="F53" s="142"/>
      <c r="G53" s="137">
        <f t="shared" si="6"/>
        <v>0</v>
      </c>
      <c r="H53" s="137"/>
      <c r="I53" s="148">
        <v>0</v>
      </c>
      <c r="J53" s="141"/>
      <c r="K53" s="148">
        <v>-1.2</v>
      </c>
      <c r="L53" s="142"/>
      <c r="M53" s="137" t="str">
        <f t="shared" si="7"/>
        <v>n/m</v>
      </c>
      <c r="N53" s="32"/>
    </row>
    <row r="54" spans="2:14" ht="12.75">
      <c r="B54" s="79" t="s">
        <v>165</v>
      </c>
      <c r="C54" s="149">
        <f>SUM(C49:C53)</f>
        <v>35</v>
      </c>
      <c r="D54" s="141"/>
      <c r="E54" s="149">
        <f>SUM(E49:E53)</f>
        <v>37.1</v>
      </c>
      <c r="F54" s="142"/>
      <c r="G54" s="137">
        <f t="shared" si="6"/>
        <v>-0.056603773584905696</v>
      </c>
      <c r="H54" s="140"/>
      <c r="I54" s="149">
        <f>SUM(I49:I53)</f>
        <v>91.20000000000002</v>
      </c>
      <c r="J54" s="141"/>
      <c r="K54" s="149">
        <f>SUM(K49:K53)</f>
        <v>106.10000000000001</v>
      </c>
      <c r="L54" s="142"/>
      <c r="M54" s="137">
        <f t="shared" si="7"/>
        <v>-0.1404335532516493</v>
      </c>
      <c r="N54" s="32"/>
    </row>
    <row r="55" spans="2:14" ht="6" customHeight="1">
      <c r="B55" s="79"/>
      <c r="C55" s="142"/>
      <c r="D55" s="141"/>
      <c r="E55" s="142"/>
      <c r="F55" s="142"/>
      <c r="G55" s="137"/>
      <c r="H55" s="137"/>
      <c r="I55" s="142"/>
      <c r="J55" s="141"/>
      <c r="K55" s="142"/>
      <c r="L55" s="142"/>
      <c r="M55" s="137"/>
      <c r="N55" s="32"/>
    </row>
    <row r="56" spans="2:14" ht="13.5" thickBot="1">
      <c r="B56" s="79" t="s">
        <v>175</v>
      </c>
      <c r="C56" s="88">
        <f>C46-C54</f>
        <v>3.6000000000000014</v>
      </c>
      <c r="D56" s="141"/>
      <c r="E56" s="88">
        <f>E46-E54</f>
        <v>4.699999999999996</v>
      </c>
      <c r="F56" s="142"/>
      <c r="G56" s="137">
        <f aca="true" t="shared" si="8" ref="G56:G65">IF(OR(AND(E56=0,C56&lt;&gt;0),AND(C56=0,E56&lt;&gt;0)),"n/m",IF(AND(E56=0,C56=0),0,IF(ABS((C56-E56)/E56)&gt;2,"n/m",((C56-E56)/E56))))</f>
        <v>-0.23404255319148837</v>
      </c>
      <c r="H56" s="137"/>
      <c r="I56" s="88">
        <f>I46-I54</f>
        <v>9.899999999999977</v>
      </c>
      <c r="J56" s="141"/>
      <c r="K56" s="88">
        <f>K46-K54</f>
        <v>13.099999999999994</v>
      </c>
      <c r="L56" s="142"/>
      <c r="M56" s="137">
        <f aca="true" t="shared" si="9" ref="M56:M65">IF(OR(AND(K56=0,I56&lt;&gt;0),AND(I56=0,K56&lt;&gt;0)),"n/m",IF(AND(K56=0,I56=0),0,IF(ABS((I56-K56)/K56)&gt;2,"n/m",((I56-K56)/K56))))</f>
        <v>-0.24427480916030675</v>
      </c>
      <c r="N56" s="32"/>
    </row>
    <row r="57" spans="2:14" ht="13.5" thickTop="1">
      <c r="B57" s="130"/>
      <c r="C57" s="109"/>
      <c r="D57" s="141"/>
      <c r="E57" s="109"/>
      <c r="F57" s="142"/>
      <c r="G57" s="137"/>
      <c r="H57" s="137"/>
      <c r="I57" s="109"/>
      <c r="J57" s="141"/>
      <c r="K57" s="109"/>
      <c r="L57" s="142"/>
      <c r="M57" s="137"/>
      <c r="N57" s="32"/>
    </row>
    <row r="58" spans="2:14" ht="12.75">
      <c r="B58" s="129" t="s">
        <v>110</v>
      </c>
      <c r="C58" s="109"/>
      <c r="D58" s="141"/>
      <c r="E58" s="109"/>
      <c r="F58" s="142"/>
      <c r="G58" s="137"/>
      <c r="H58" s="137"/>
      <c r="I58" s="109"/>
      <c r="J58" s="141"/>
      <c r="K58" s="109"/>
      <c r="L58" s="142"/>
      <c r="M58" s="137"/>
      <c r="N58" s="32"/>
    </row>
    <row r="59" spans="2:14" ht="12.75">
      <c r="B59" s="79" t="s">
        <v>26</v>
      </c>
      <c r="C59" s="146">
        <v>20.7</v>
      </c>
      <c r="D59" s="141"/>
      <c r="E59" s="146">
        <v>20.8</v>
      </c>
      <c r="F59" s="142"/>
      <c r="G59" s="137">
        <v>0</v>
      </c>
      <c r="H59" s="137"/>
      <c r="I59" s="146">
        <v>58.6</v>
      </c>
      <c r="J59" s="141"/>
      <c r="K59" s="146">
        <v>61.7</v>
      </c>
      <c r="L59" s="142"/>
      <c r="M59" s="137">
        <f t="shared" si="9"/>
        <v>-0.050243111831442484</v>
      </c>
      <c r="N59" s="32"/>
    </row>
    <row r="60" spans="2:15" ht="7.5" customHeight="1">
      <c r="B60" s="79"/>
      <c r="D60" s="126"/>
      <c r="G60" s="137"/>
      <c r="H60" s="137"/>
      <c r="J60" s="126"/>
      <c r="M60" s="137"/>
      <c r="O60" s="69"/>
    </row>
    <row r="61" spans="2:14" ht="12.75">
      <c r="B61" s="79" t="s">
        <v>176</v>
      </c>
      <c r="D61" s="141"/>
      <c r="F61" s="142"/>
      <c r="G61" s="137"/>
      <c r="H61" s="137"/>
      <c r="J61" s="141"/>
      <c r="L61" s="142"/>
      <c r="M61" s="137"/>
      <c r="N61" s="32"/>
    </row>
    <row r="62" spans="2:14" ht="12.75">
      <c r="B62" s="79" t="s">
        <v>161</v>
      </c>
      <c r="C62" s="149">
        <v>9.5</v>
      </c>
      <c r="D62" s="143"/>
      <c r="E62" s="149">
        <v>12.5</v>
      </c>
      <c r="G62" s="137">
        <f t="shared" si="8"/>
        <v>-0.24</v>
      </c>
      <c r="H62" s="137"/>
      <c r="I62" s="149">
        <f>35.5+0.1</f>
        <v>35.6</v>
      </c>
      <c r="J62" s="143"/>
      <c r="K62" s="149">
        <v>41.2</v>
      </c>
      <c r="M62" s="137">
        <f t="shared" si="9"/>
        <v>-0.1359223300970874</v>
      </c>
      <c r="N62" s="42"/>
    </row>
    <row r="63" spans="2:13" ht="12.75">
      <c r="B63" s="79" t="s">
        <v>162</v>
      </c>
      <c r="C63" s="149">
        <v>4</v>
      </c>
      <c r="D63" s="126"/>
      <c r="E63" s="149">
        <v>4.7</v>
      </c>
      <c r="G63" s="137">
        <f t="shared" si="8"/>
        <v>-0.14893617021276598</v>
      </c>
      <c r="H63" s="140"/>
      <c r="I63" s="149">
        <v>10.1</v>
      </c>
      <c r="J63" s="126"/>
      <c r="K63" s="149">
        <v>12.3</v>
      </c>
      <c r="M63" s="137">
        <f t="shared" si="9"/>
        <v>-0.17886178861788626</v>
      </c>
    </row>
    <row r="64" spans="2:13" ht="12.75">
      <c r="B64" s="79" t="s">
        <v>177</v>
      </c>
      <c r="C64" s="149">
        <v>0.4</v>
      </c>
      <c r="D64" s="126"/>
      <c r="E64" s="149">
        <v>0.5</v>
      </c>
      <c r="G64" s="137">
        <f t="shared" si="8"/>
        <v>-0.19999999999999996</v>
      </c>
      <c r="H64" s="140"/>
      <c r="I64" s="149">
        <v>1.2</v>
      </c>
      <c r="J64" s="126"/>
      <c r="K64" s="149">
        <v>1.5</v>
      </c>
      <c r="M64" s="137">
        <f t="shared" si="9"/>
        <v>-0.20000000000000004</v>
      </c>
    </row>
    <row r="65" spans="2:13" ht="12.75">
      <c r="B65" s="79" t="s">
        <v>170</v>
      </c>
      <c r="C65" s="148">
        <v>0</v>
      </c>
      <c r="D65" s="141"/>
      <c r="E65" s="148">
        <v>0</v>
      </c>
      <c r="G65" s="137">
        <f t="shared" si="8"/>
        <v>0</v>
      </c>
      <c r="H65" s="137"/>
      <c r="I65" s="148">
        <v>0</v>
      </c>
      <c r="J65" s="141"/>
      <c r="K65" s="148">
        <v>0.1</v>
      </c>
      <c r="M65" s="137" t="str">
        <f t="shared" si="9"/>
        <v>n/m</v>
      </c>
    </row>
    <row r="66" spans="2:14" ht="12.75">
      <c r="B66" s="79" t="s">
        <v>178</v>
      </c>
      <c r="C66" s="149">
        <f>SUM(C62:C65)</f>
        <v>13.9</v>
      </c>
      <c r="D66" s="141"/>
      <c r="E66" s="149">
        <f>SUM(E62:E65)</f>
        <v>17.7</v>
      </c>
      <c r="G66" s="137">
        <f>IF(OR(AND(E66=0,C66&lt;&gt;0),AND(C66=0,E66&lt;&gt;0)),"n/m",IF(AND(E66=0,C66=0),0,IF(ABS((C66-E66)/E66)&gt;2,"n/m",((C66-E66)/E66))))</f>
        <v>-0.2146892655367231</v>
      </c>
      <c r="H66" s="137"/>
      <c r="I66" s="149">
        <f>SUM(I62:I65)</f>
        <v>46.900000000000006</v>
      </c>
      <c r="J66" s="141"/>
      <c r="K66" s="149">
        <f>SUM(K62:K65)</f>
        <v>55.1</v>
      </c>
      <c r="M66" s="137">
        <f>IF(OR(AND(K66=0,I66&lt;&gt;0),AND(I66=0,K66&lt;&gt;0)),"n/m",IF(AND(K66=0,I66=0),0,IF(ABS((I66-K66)/K66)&gt;2,"n/m",((I66-K66)/K66))))</f>
        <v>-0.1488203266787658</v>
      </c>
      <c r="N66" s="57"/>
    </row>
    <row r="67" spans="2:14" ht="6" customHeight="1">
      <c r="B67" s="79"/>
      <c r="C67" s="142"/>
      <c r="D67" s="141"/>
      <c r="E67" s="142"/>
      <c r="F67" s="142"/>
      <c r="G67" s="137"/>
      <c r="H67" s="137"/>
      <c r="I67" s="142"/>
      <c r="J67" s="141"/>
      <c r="K67" s="142"/>
      <c r="L67" s="142"/>
      <c r="M67" s="137"/>
      <c r="N67" s="32"/>
    </row>
    <row r="68" spans="2:15" ht="13.5" thickBot="1">
      <c r="B68" s="79" t="s">
        <v>166</v>
      </c>
      <c r="C68" s="88">
        <f>C59-C66</f>
        <v>6.799999999999999</v>
      </c>
      <c r="D68" s="141"/>
      <c r="E68" s="88">
        <f>E59-E66</f>
        <v>3.1000000000000014</v>
      </c>
      <c r="F68" s="142"/>
      <c r="G68" s="137">
        <f>IF(OR(AND(E68=0,C68&lt;&gt;0),AND(C68=0,E68&lt;&gt;0)),"n/m",IF(AND(E68=0,C68=0),0,IF(ABS((C68-E68)/E68)&gt;2,"n/m",((C68-E68)/E68))))</f>
        <v>1.193548387096773</v>
      </c>
      <c r="H68" s="137"/>
      <c r="I68" s="88">
        <f>I59-I66</f>
        <v>11.699999999999996</v>
      </c>
      <c r="J68" s="141"/>
      <c r="K68" s="88">
        <f>K59-K66</f>
        <v>6.600000000000001</v>
      </c>
      <c r="M68" s="137">
        <f>IF(OR(AND(K68=0,I68&lt;&gt;0),AND(I68=0,K68&lt;&gt;0)),"n/m",IF(AND(K68=0,I68=0),0,IF(ABS((I68-K68)/K68)&gt;2,"n/m",((I68-K68)/K68))))</f>
        <v>0.7727272727272717</v>
      </c>
      <c r="N68" s="57"/>
      <c r="O68" s="69"/>
    </row>
    <row r="69" spans="2:13" ht="13.5" thickTop="1">
      <c r="B69" s="131"/>
      <c r="C69" s="144"/>
      <c r="D69" s="126"/>
      <c r="E69" s="81"/>
      <c r="G69" s="140"/>
      <c r="H69" s="140"/>
      <c r="I69" s="145"/>
      <c r="J69" s="126"/>
      <c r="K69" s="81"/>
      <c r="M69" s="140"/>
    </row>
    <row r="70" spans="2:14" ht="12.75">
      <c r="B70" s="129" t="s">
        <v>48</v>
      </c>
      <c r="C70" s="58"/>
      <c r="D70" s="142"/>
      <c r="E70" s="58"/>
      <c r="F70" s="142"/>
      <c r="G70" s="135"/>
      <c r="H70" s="135"/>
      <c r="I70" s="58"/>
      <c r="J70" s="142"/>
      <c r="K70" s="58"/>
      <c r="L70" s="142"/>
      <c r="M70" s="135"/>
      <c r="N70" s="32"/>
    </row>
    <row r="71" spans="2:14" ht="12.75">
      <c r="B71" s="79" t="s">
        <v>26</v>
      </c>
      <c r="C71" s="58"/>
      <c r="D71" s="142"/>
      <c r="E71" s="58"/>
      <c r="F71" s="142"/>
      <c r="G71" s="135"/>
      <c r="H71" s="135"/>
      <c r="I71" s="58"/>
      <c r="J71" s="142"/>
      <c r="K71" s="58"/>
      <c r="L71" s="142"/>
      <c r="M71" s="135"/>
      <c r="N71" s="32"/>
    </row>
    <row r="72" spans="2:14" ht="12.75">
      <c r="B72" s="79" t="s">
        <v>179</v>
      </c>
      <c r="C72" s="141">
        <v>0</v>
      </c>
      <c r="D72" s="142"/>
      <c r="E72" s="141">
        <v>0</v>
      </c>
      <c r="F72" s="142"/>
      <c r="G72" s="137">
        <f aca="true" t="shared" si="10" ref="G72:G87">IF(OR(AND(E72=0,C72&lt;&gt;0),AND(C72=0,E72&lt;&gt;0)),"n/m",IF(AND(E72=0,C72=0),0,IF(ABS((C72-E72)/E72)&gt;2,"n/m",((C72-E72)/E72))))</f>
        <v>0</v>
      </c>
      <c r="H72" s="135"/>
      <c r="I72" s="141">
        <v>0</v>
      </c>
      <c r="J72" s="142"/>
      <c r="K72" s="141">
        <f>162.3-3</f>
        <v>159.3</v>
      </c>
      <c r="L72" s="142"/>
      <c r="M72" s="137" t="str">
        <f aca="true" t="shared" si="11" ref="M72:M87">IF(OR(AND(K72=0,I72&lt;&gt;0),AND(I72=0,K72&lt;&gt;0)),"n/m",IF(AND(K72=0,I72=0),0,IF(ABS((I72-K72)/K72)&gt;2,"n/m",((I72-K72)/K72))))</f>
        <v>n/m</v>
      </c>
      <c r="N72" s="32"/>
    </row>
    <row r="73" spans="2:14" ht="12.75">
      <c r="B73" s="79" t="s">
        <v>180</v>
      </c>
      <c r="C73" s="141">
        <v>0</v>
      </c>
      <c r="D73" s="142"/>
      <c r="E73" s="141">
        <v>0</v>
      </c>
      <c r="F73" s="142"/>
      <c r="G73" s="137">
        <f t="shared" si="10"/>
        <v>0</v>
      </c>
      <c r="H73" s="135"/>
      <c r="I73" s="141">
        <v>0</v>
      </c>
      <c r="J73" s="142"/>
      <c r="K73" s="141">
        <f>66.5+46.6-1.2</f>
        <v>111.89999999999999</v>
      </c>
      <c r="L73" s="142"/>
      <c r="M73" s="137" t="str">
        <f t="shared" si="11"/>
        <v>n/m</v>
      </c>
      <c r="N73" s="32"/>
    </row>
    <row r="74" spans="2:13" ht="12.75">
      <c r="B74" s="79" t="s">
        <v>181</v>
      </c>
      <c r="C74" s="141">
        <v>0</v>
      </c>
      <c r="D74" s="146"/>
      <c r="E74" s="141">
        <v>0</v>
      </c>
      <c r="G74" s="137">
        <f t="shared" si="10"/>
        <v>0</v>
      </c>
      <c r="I74" s="141">
        <v>0</v>
      </c>
      <c r="J74" s="146"/>
      <c r="K74" s="141">
        <f>60.8-1.3</f>
        <v>59.5</v>
      </c>
      <c r="M74" s="137" t="str">
        <f t="shared" si="11"/>
        <v>n/m</v>
      </c>
    </row>
    <row r="75" spans="2:13" ht="15">
      <c r="B75" s="79" t="s">
        <v>158</v>
      </c>
      <c r="C75" s="150">
        <v>0</v>
      </c>
      <c r="E75" s="150">
        <v>0</v>
      </c>
      <c r="G75" s="137">
        <f t="shared" si="10"/>
        <v>0</v>
      </c>
      <c r="I75" s="150">
        <v>0</v>
      </c>
      <c r="K75" s="150">
        <f>1.7</f>
        <v>1.7</v>
      </c>
      <c r="M75" s="137" t="str">
        <f t="shared" si="11"/>
        <v>n/m</v>
      </c>
    </row>
    <row r="76" spans="2:14" ht="12.75">
      <c r="B76" s="79" t="s">
        <v>159</v>
      </c>
      <c r="C76" s="149">
        <f>SUM(C72:C75)</f>
        <v>0</v>
      </c>
      <c r="D76" s="146"/>
      <c r="E76" s="149">
        <f>SUM(E72:E75)</f>
        <v>0</v>
      </c>
      <c r="G76" s="137">
        <f t="shared" si="10"/>
        <v>0</v>
      </c>
      <c r="I76" s="149">
        <f>SUM(I72:I75)</f>
        <v>0</v>
      </c>
      <c r="J76" s="146"/>
      <c r="K76" s="149">
        <f>SUM(K72:K75)</f>
        <v>332.4</v>
      </c>
      <c r="M76" s="137" t="str">
        <f t="shared" si="11"/>
        <v>n/m</v>
      </c>
      <c r="N76" s="72"/>
    </row>
    <row r="77" spans="2:15" ht="7.5" customHeight="1">
      <c r="B77" s="79"/>
      <c r="D77" s="126"/>
      <c r="G77" s="137"/>
      <c r="H77" s="137"/>
      <c r="J77" s="126"/>
      <c r="M77" s="137"/>
      <c r="O77" s="69"/>
    </row>
    <row r="78" spans="2:13" ht="12.75">
      <c r="B78" s="79" t="s">
        <v>176</v>
      </c>
      <c r="G78" s="137"/>
      <c r="M78" s="137"/>
    </row>
    <row r="79" spans="2:13" ht="12.75">
      <c r="B79" s="79" t="s">
        <v>161</v>
      </c>
      <c r="C79" s="149">
        <v>0</v>
      </c>
      <c r="E79" s="149">
        <v>-0.5</v>
      </c>
      <c r="G79" s="137" t="str">
        <f t="shared" si="10"/>
        <v>n/m</v>
      </c>
      <c r="I79" s="149">
        <v>0</v>
      </c>
      <c r="K79" s="149">
        <v>202.8</v>
      </c>
      <c r="M79" s="137" t="str">
        <f t="shared" si="11"/>
        <v>n/m</v>
      </c>
    </row>
    <row r="80" spans="2:13" ht="12.75">
      <c r="B80" s="79" t="s">
        <v>162</v>
      </c>
      <c r="C80" s="149">
        <v>-2.7</v>
      </c>
      <c r="E80" s="149">
        <v>6.1</v>
      </c>
      <c r="G80" s="137">
        <f t="shared" si="10"/>
        <v>-1.4426229508196724</v>
      </c>
      <c r="I80" s="149">
        <v>-2.7</v>
      </c>
      <c r="K80" s="149">
        <v>123.4</v>
      </c>
      <c r="M80" s="137">
        <f t="shared" si="11"/>
        <v>-1.0218800648298216</v>
      </c>
    </row>
    <row r="81" spans="2:13" ht="12.75">
      <c r="B81" s="79" t="s">
        <v>163</v>
      </c>
      <c r="C81" s="149">
        <v>0</v>
      </c>
      <c r="E81" s="149">
        <v>0</v>
      </c>
      <c r="G81" s="137">
        <f t="shared" si="10"/>
        <v>0</v>
      </c>
      <c r="I81" s="149">
        <v>0</v>
      </c>
      <c r="K81" s="149">
        <v>1.9</v>
      </c>
      <c r="M81" s="137" t="str">
        <f t="shared" si="11"/>
        <v>n/m</v>
      </c>
    </row>
    <row r="82" spans="2:13" ht="12.75">
      <c r="B82" s="79" t="s">
        <v>164</v>
      </c>
      <c r="C82" s="149">
        <v>0</v>
      </c>
      <c r="E82" s="149">
        <v>0</v>
      </c>
      <c r="G82" s="137">
        <f t="shared" si="10"/>
        <v>0</v>
      </c>
      <c r="I82" s="149">
        <v>0</v>
      </c>
      <c r="K82" s="149">
        <v>-3.4</v>
      </c>
      <c r="M82" s="137" t="str">
        <f t="shared" si="11"/>
        <v>n/m</v>
      </c>
    </row>
    <row r="83" spans="2:13" ht="12.75">
      <c r="B83" s="79" t="s">
        <v>170</v>
      </c>
      <c r="C83" s="149">
        <v>-0.1</v>
      </c>
      <c r="E83" s="149">
        <v>0</v>
      </c>
      <c r="G83" s="137" t="str">
        <f t="shared" si="10"/>
        <v>n/m</v>
      </c>
      <c r="I83" s="149">
        <v>-1.6</v>
      </c>
      <c r="K83" s="149">
        <v>0.1</v>
      </c>
      <c r="M83" s="137" t="str">
        <f t="shared" si="11"/>
        <v>n/m</v>
      </c>
    </row>
    <row r="84" spans="2:13" ht="12.75">
      <c r="B84" s="79" t="s">
        <v>182</v>
      </c>
      <c r="C84" s="148">
        <v>0</v>
      </c>
      <c r="E84" s="148">
        <v>-37.3</v>
      </c>
      <c r="G84" s="137" t="str">
        <f t="shared" si="10"/>
        <v>n/m</v>
      </c>
      <c r="I84" s="148">
        <v>0</v>
      </c>
      <c r="K84" s="148">
        <v>-336.3</v>
      </c>
      <c r="M84" s="137" t="str">
        <f t="shared" si="11"/>
        <v>n/m</v>
      </c>
    </row>
    <row r="85" spans="2:13" ht="12.75">
      <c r="B85" s="79" t="s">
        <v>178</v>
      </c>
      <c r="C85" s="149">
        <f>SUM(C79:C84)</f>
        <v>-2.8000000000000003</v>
      </c>
      <c r="E85" s="149">
        <f>SUM(E79:E84)</f>
        <v>-31.699999999999996</v>
      </c>
      <c r="G85" s="137">
        <f t="shared" si="10"/>
        <v>-0.9116719242902208</v>
      </c>
      <c r="I85" s="149">
        <f>SUM(I79:I84)</f>
        <v>-4.300000000000001</v>
      </c>
      <c r="K85" s="149">
        <f>SUM(K79:K84)</f>
        <v>-11.499999999999943</v>
      </c>
      <c r="M85" s="137">
        <f t="shared" si="11"/>
        <v>-0.6260869565217372</v>
      </c>
    </row>
    <row r="86" spans="2:14" ht="6" customHeight="1">
      <c r="B86" s="79"/>
      <c r="D86" s="141"/>
      <c r="F86" s="142"/>
      <c r="G86" s="137"/>
      <c r="H86" s="137"/>
      <c r="J86" s="141"/>
      <c r="L86" s="142"/>
      <c r="M86" s="137"/>
      <c r="N86" s="32"/>
    </row>
    <row r="87" spans="2:13" ht="13.5" thickBot="1">
      <c r="B87" s="79" t="s">
        <v>175</v>
      </c>
      <c r="C87" s="88">
        <f>C77+C76-C85</f>
        <v>2.8000000000000003</v>
      </c>
      <c r="D87" s="141"/>
      <c r="E87" s="88">
        <f>E77+E76-E85</f>
        <v>31.699999999999996</v>
      </c>
      <c r="F87" s="142"/>
      <c r="G87" s="137">
        <f t="shared" si="10"/>
        <v>-0.9116719242902208</v>
      </c>
      <c r="H87" s="137"/>
      <c r="I87" s="88">
        <f>I77+I76-I85</f>
        <v>4.300000000000001</v>
      </c>
      <c r="J87" s="141"/>
      <c r="K87" s="88">
        <f>K77+K76-K85</f>
        <v>343.8999999999999</v>
      </c>
      <c r="M87" s="137">
        <f t="shared" si="11"/>
        <v>-0.9874963652224483</v>
      </c>
    </row>
    <row r="88" ht="13.5" thickTop="1"/>
    <row r="89" ht="12.75">
      <c r="C89" s="58"/>
    </row>
    <row r="90" spans="2:9" ht="12.75">
      <c r="B90" s="79"/>
      <c r="C90" s="146"/>
      <c r="I90" s="146"/>
    </row>
    <row r="91" ht="12.75">
      <c r="B91" s="79"/>
    </row>
    <row r="92" ht="12.75">
      <c r="B92" s="79"/>
    </row>
    <row r="93" ht="12.75">
      <c r="B93" s="79"/>
    </row>
    <row r="94" ht="12.75">
      <c r="B94" s="79"/>
    </row>
    <row r="95" ht="12.75">
      <c r="B95" s="79"/>
    </row>
    <row r="96" ht="12.75">
      <c r="B96" s="79"/>
    </row>
    <row r="97" ht="12.75">
      <c r="B97" s="79"/>
    </row>
  </sheetData>
  <printOptions/>
  <pageMargins left="0.75" right="0.75" top="1" bottom="1" header="0.5" footer="0.5"/>
  <pageSetup fitToHeight="1" fitToWidth="1" horizontalDpi="300" verticalDpi="3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77"/>
  <sheetViews>
    <sheetView zoomScale="90" zoomScaleNormal="90" workbookViewId="0" topLeftCell="A26">
      <selection activeCell="F44" sqref="F43:F44"/>
    </sheetView>
  </sheetViews>
  <sheetFormatPr defaultColWidth="9.140625" defaultRowHeight="12.75"/>
  <cols>
    <col min="1" max="1" width="4.421875" style="5" customWidth="1"/>
    <col min="2" max="2" width="58.7109375" style="5" customWidth="1"/>
    <col min="3" max="3" width="9.140625" style="5" customWidth="1"/>
    <col min="4" max="4" width="13.421875" style="5" customWidth="1"/>
    <col min="5" max="5" width="3.28125" style="5" customWidth="1"/>
    <col min="6" max="6" width="13.421875" style="5" bestFit="1" customWidth="1"/>
    <col min="7" max="7" width="10.00390625" style="5" bestFit="1" customWidth="1"/>
    <col min="8" max="16384" width="9.140625" style="5" customWidth="1"/>
  </cols>
  <sheetData>
    <row r="1" spans="1:2" ht="12.75">
      <c r="A1" s="4" t="s">
        <v>57</v>
      </c>
      <c r="B1" s="4"/>
    </row>
    <row r="2" spans="1:2" ht="12.75">
      <c r="A2" s="4" t="s">
        <v>0</v>
      </c>
      <c r="B2" s="4"/>
    </row>
    <row r="3" spans="1:2" ht="12.75">
      <c r="A3" s="4" t="s">
        <v>1</v>
      </c>
      <c r="B3" s="4"/>
    </row>
    <row r="5" spans="2:6" ht="12.75">
      <c r="B5" s="5" t="s">
        <v>104</v>
      </c>
      <c r="D5" s="112"/>
      <c r="F5" s="112"/>
    </row>
    <row r="6" spans="4:6" ht="12.75">
      <c r="D6" s="9" t="s">
        <v>148</v>
      </c>
      <c r="F6" s="9" t="s">
        <v>2</v>
      </c>
    </row>
    <row r="7" spans="4:6" ht="12.75">
      <c r="D7" s="8">
        <v>2004</v>
      </c>
      <c r="F7" s="8">
        <v>2003</v>
      </c>
    </row>
    <row r="9" ht="12.75">
      <c r="B9" s="25" t="s">
        <v>3</v>
      </c>
    </row>
    <row r="11" spans="2:6" ht="12.75">
      <c r="B11" s="5" t="s">
        <v>4</v>
      </c>
      <c r="D11" s="89">
        <v>23</v>
      </c>
      <c r="F11" s="89">
        <v>26</v>
      </c>
    </row>
    <row r="12" spans="2:6" ht="12.75">
      <c r="B12" s="5" t="s">
        <v>5</v>
      </c>
      <c r="D12" s="59">
        <v>136.6</v>
      </c>
      <c r="F12" s="59">
        <v>140.5</v>
      </c>
    </row>
    <row r="13" spans="2:6" ht="12.75">
      <c r="B13" s="5" t="s">
        <v>71</v>
      </c>
      <c r="D13" s="59">
        <v>36.6</v>
      </c>
      <c r="F13" s="59">
        <v>33.6</v>
      </c>
    </row>
    <row r="14" spans="2:6" ht="12.75">
      <c r="B14" s="5" t="s">
        <v>6</v>
      </c>
      <c r="D14" s="59">
        <v>58.4</v>
      </c>
      <c r="F14" s="59">
        <v>59.3</v>
      </c>
    </row>
    <row r="15" spans="2:6" ht="12.75">
      <c r="B15" s="5" t="s">
        <v>7</v>
      </c>
      <c r="D15" s="59">
        <v>860.4</v>
      </c>
      <c r="F15" s="59">
        <v>898.8</v>
      </c>
    </row>
    <row r="16" spans="2:6" ht="12.75">
      <c r="B16" s="5" t="s">
        <v>36</v>
      </c>
      <c r="D16" s="59">
        <v>40.9</v>
      </c>
      <c r="F16" s="59">
        <f>44.2-3.3</f>
        <v>40.900000000000006</v>
      </c>
    </row>
    <row r="17" spans="2:6" ht="12.75">
      <c r="B17" s="5" t="s">
        <v>25</v>
      </c>
      <c r="C17" s="50"/>
      <c r="D17" s="59">
        <f>43.3-5.6</f>
        <v>37.699999999999996</v>
      </c>
      <c r="F17" s="59">
        <f>52.7-5.5</f>
        <v>47.2</v>
      </c>
    </row>
    <row r="18" spans="2:6" ht="12.75">
      <c r="B18" s="5" t="s">
        <v>86</v>
      </c>
      <c r="C18" s="50"/>
      <c r="D18" s="59">
        <v>660.7</v>
      </c>
      <c r="F18" s="59">
        <v>696.9</v>
      </c>
    </row>
    <row r="19" spans="2:6" ht="12.75">
      <c r="B19" s="5" t="s">
        <v>18</v>
      </c>
      <c r="D19" s="90">
        <v>132.6</v>
      </c>
      <c r="F19" s="90">
        <f>4.2+53.5+72.5+0.1</f>
        <v>130.29999999999998</v>
      </c>
    </row>
    <row r="20" spans="2:6" ht="13.5" thickBot="1">
      <c r="B20" s="5" t="s">
        <v>8</v>
      </c>
      <c r="D20" s="91">
        <f>SUM(D11:D19)</f>
        <v>1986.9</v>
      </c>
      <c r="F20" s="91">
        <f>SUM(F11:F19)</f>
        <v>2073.5</v>
      </c>
    </row>
    <row r="21" ht="13.5" thickTop="1"/>
    <row r="23" ht="12.75">
      <c r="B23" s="25" t="s">
        <v>49</v>
      </c>
    </row>
    <row r="25" spans="2:6" ht="12.75">
      <c r="B25" s="5" t="s">
        <v>84</v>
      </c>
      <c r="D25" s="89">
        <v>10.6</v>
      </c>
      <c r="F25" s="89">
        <v>13.3</v>
      </c>
    </row>
    <row r="26" spans="2:6" ht="12.75">
      <c r="B26" s="5" t="s">
        <v>35</v>
      </c>
      <c r="D26" s="45">
        <v>41.1</v>
      </c>
      <c r="F26" s="45">
        <v>41.5</v>
      </c>
    </row>
    <row r="27" spans="2:6" ht="12.75">
      <c r="B27" s="5" t="s">
        <v>72</v>
      </c>
      <c r="D27" s="45">
        <v>56</v>
      </c>
      <c r="F27" s="45">
        <v>64.5</v>
      </c>
    </row>
    <row r="28" spans="2:6" ht="12.75">
      <c r="B28" s="5" t="s">
        <v>73</v>
      </c>
      <c r="D28" s="45">
        <v>41.2</v>
      </c>
      <c r="F28" s="45">
        <v>43.7</v>
      </c>
    </row>
    <row r="29" spans="2:8" ht="12.75">
      <c r="B29" s="5" t="s">
        <v>9</v>
      </c>
      <c r="D29" s="59">
        <v>125.4</v>
      </c>
      <c r="F29" s="59">
        <f>151.2-64.5+2.6+15.7+27+0.1+11.7-11.5</f>
        <v>132.29999999999998</v>
      </c>
      <c r="H29" s="52"/>
    </row>
    <row r="30" spans="2:6" ht="12.75">
      <c r="B30" s="5" t="s">
        <v>10</v>
      </c>
      <c r="D30" s="45">
        <v>2175.6</v>
      </c>
      <c r="F30" s="45">
        <v>2274.5</v>
      </c>
    </row>
    <row r="31" spans="2:6" ht="12.75">
      <c r="B31" s="5" t="s">
        <v>22</v>
      </c>
      <c r="D31" s="59">
        <v>10.4</v>
      </c>
      <c r="F31" s="59">
        <v>11.9</v>
      </c>
    </row>
    <row r="32" spans="2:6" ht="12.75">
      <c r="B32" s="5" t="s">
        <v>19</v>
      </c>
      <c r="D32" s="92">
        <f>126.7-0.1</f>
        <v>126.60000000000001</v>
      </c>
      <c r="F32" s="92">
        <f>2.6+63.5+20.7+44.9-11.7+11.5</f>
        <v>131.5</v>
      </c>
    </row>
    <row r="33" spans="2:6" ht="12.75">
      <c r="B33" s="5" t="s">
        <v>11</v>
      </c>
      <c r="D33" s="59">
        <v>41.1</v>
      </c>
      <c r="F33" s="59">
        <v>39.7</v>
      </c>
    </row>
    <row r="34" spans="2:6" ht="12.75">
      <c r="B34" s="5" t="s">
        <v>87</v>
      </c>
      <c r="D34" s="59">
        <v>-641.1</v>
      </c>
      <c r="F34" s="59">
        <v>-679.4</v>
      </c>
    </row>
    <row r="35" spans="2:6" ht="13.5" thickBot="1">
      <c r="B35" s="5" t="s">
        <v>50</v>
      </c>
      <c r="D35" s="91">
        <f>SUM(D25:D34)</f>
        <v>1986.9</v>
      </c>
      <c r="F35" s="91">
        <f>SUM(F25:F34)</f>
        <v>2073.5</v>
      </c>
    </row>
    <row r="36" ht="13.5" thickTop="1"/>
    <row r="38" spans="2:6" ht="12.75">
      <c r="B38" s="25" t="s">
        <v>23</v>
      </c>
      <c r="D38" s="52"/>
      <c r="F38" s="52"/>
    </row>
    <row r="39" spans="2:6" ht="12.75">
      <c r="B39" s="5" t="s">
        <v>21</v>
      </c>
      <c r="D39" s="2">
        <v>245.3</v>
      </c>
      <c r="F39" s="2">
        <v>244.6</v>
      </c>
    </row>
    <row r="40" spans="2:7" ht="12.75">
      <c r="B40" s="5" t="s">
        <v>46</v>
      </c>
      <c r="D40" s="35">
        <f>'Net Debt - YTD'!D23</f>
        <v>2159.5</v>
      </c>
      <c r="E40" s="35"/>
      <c r="F40" s="35">
        <f>F30+F25-F11</f>
        <v>2261.8</v>
      </c>
      <c r="G40" s="52"/>
    </row>
    <row r="41" spans="2:6" ht="12.75">
      <c r="B41" s="5" t="s">
        <v>85</v>
      </c>
      <c r="D41" s="35">
        <v>365.4</v>
      </c>
      <c r="F41" s="35">
        <v>299.5</v>
      </c>
    </row>
    <row r="43" ht="12.75">
      <c r="B43" s="25" t="s">
        <v>106</v>
      </c>
    </row>
    <row r="44" spans="2:6" ht="12.75">
      <c r="B44" s="5" t="s">
        <v>33</v>
      </c>
      <c r="D44" s="40">
        <v>4.81</v>
      </c>
      <c r="F44" s="40">
        <v>4.7</v>
      </c>
    </row>
    <row r="45" spans="2:6" ht="12.75">
      <c r="B45" s="5" t="s">
        <v>34</v>
      </c>
      <c r="D45" s="41">
        <v>5.85</v>
      </c>
      <c r="F45" s="41">
        <v>6.2</v>
      </c>
    </row>
    <row r="47" spans="2:6" ht="12.75">
      <c r="B47" s="5" t="s">
        <v>29</v>
      </c>
      <c r="D47" s="5">
        <v>1.73</v>
      </c>
      <c r="F47" s="5">
        <v>1.87</v>
      </c>
    </row>
    <row r="48" spans="2:6" ht="12.75">
      <c r="B48" s="5" t="s">
        <v>30</v>
      </c>
      <c r="D48" s="41">
        <v>3.6</v>
      </c>
      <c r="F48" s="41">
        <v>4</v>
      </c>
    </row>
    <row r="50" spans="2:6" ht="12.75">
      <c r="B50" s="5" t="s">
        <v>31</v>
      </c>
      <c r="D50" s="41">
        <v>2.71</v>
      </c>
      <c r="F50" s="41">
        <v>3.56</v>
      </c>
    </row>
    <row r="51" spans="2:6" ht="12.75">
      <c r="B51" s="5" t="s">
        <v>32</v>
      </c>
      <c r="D51" s="41">
        <v>2.2</v>
      </c>
      <c r="F51" s="41">
        <v>2.5</v>
      </c>
    </row>
    <row r="52" spans="4:6" ht="12.75">
      <c r="D52" s="41"/>
      <c r="F52" s="41"/>
    </row>
    <row r="53" spans="2:6" ht="12.75">
      <c r="B53" s="5" t="s">
        <v>90</v>
      </c>
      <c r="D53" s="42">
        <v>86.5</v>
      </c>
      <c r="F53" s="42">
        <v>122.2</v>
      </c>
    </row>
    <row r="54" spans="2:6" ht="12.75">
      <c r="B54" s="5" t="s">
        <v>91</v>
      </c>
      <c r="D54" s="42">
        <v>137.8</v>
      </c>
      <c r="F54" s="42">
        <v>146</v>
      </c>
    </row>
    <row r="56" ht="12.75">
      <c r="B56" s="25" t="s">
        <v>105</v>
      </c>
    </row>
    <row r="57" spans="2:6" ht="12.75">
      <c r="B57" s="5" t="s">
        <v>37</v>
      </c>
      <c r="D57" s="45">
        <v>978.5</v>
      </c>
      <c r="F57" s="45">
        <v>985.8</v>
      </c>
    </row>
    <row r="58" spans="2:6" ht="12.75">
      <c r="B58" s="5" t="s">
        <v>65</v>
      </c>
      <c r="D58" s="45">
        <v>335.2</v>
      </c>
      <c r="F58" s="45">
        <v>312.5</v>
      </c>
    </row>
    <row r="59" spans="2:6" ht="12.75">
      <c r="B59" s="5" t="s">
        <v>82</v>
      </c>
      <c r="D59" s="45">
        <v>122.8</v>
      </c>
      <c r="F59" s="45">
        <v>99.5</v>
      </c>
    </row>
    <row r="60" spans="2:6" ht="12.75">
      <c r="B60" s="5" t="s">
        <v>66</v>
      </c>
      <c r="D60" s="45">
        <v>113.2</v>
      </c>
      <c r="F60" s="45">
        <v>71.4</v>
      </c>
    </row>
    <row r="61" spans="4:6" ht="12.75">
      <c r="D61" s="45"/>
      <c r="F61" s="45"/>
    </row>
    <row r="62" spans="2:6" ht="12.75">
      <c r="B62" s="5" t="s">
        <v>139</v>
      </c>
      <c r="D62" s="45"/>
      <c r="F62" s="45"/>
    </row>
    <row r="63" spans="2:6" ht="12.75">
      <c r="B63" s="116" t="s">
        <v>61</v>
      </c>
      <c r="D63" s="74">
        <v>81</v>
      </c>
      <c r="E63" s="32"/>
      <c r="F63" s="74">
        <v>8.3</v>
      </c>
    </row>
    <row r="64" spans="2:8" ht="12.75">
      <c r="B64" s="116" t="s">
        <v>60</v>
      </c>
      <c r="D64" s="74">
        <v>54.8</v>
      </c>
      <c r="E64" s="32"/>
      <c r="F64" s="74">
        <v>0</v>
      </c>
      <c r="H64" s="45"/>
    </row>
    <row r="65" spans="2:8" ht="12.75">
      <c r="B65" s="5" t="s">
        <v>140</v>
      </c>
      <c r="D65" s="74"/>
      <c r="F65" s="74"/>
      <c r="H65" s="118"/>
    </row>
    <row r="66" spans="2:6" ht="12.75">
      <c r="B66" s="116" t="s">
        <v>61</v>
      </c>
      <c r="D66" s="45">
        <v>227.1</v>
      </c>
      <c r="F66" s="45">
        <v>303.6</v>
      </c>
    </row>
    <row r="67" spans="2:6" ht="12.75">
      <c r="B67" s="116" t="s">
        <v>60</v>
      </c>
      <c r="D67" s="48">
        <v>116.3</v>
      </c>
      <c r="F67" s="48">
        <v>162.5</v>
      </c>
    </row>
    <row r="68" spans="2:6" ht="13.5" thickBot="1">
      <c r="B68" s="5" t="s">
        <v>62</v>
      </c>
      <c r="D68" s="95">
        <f>SUM(D63:D67)</f>
        <v>479.2</v>
      </c>
      <c r="F68" s="95">
        <f>SUM(F63:F67)</f>
        <v>474.40000000000003</v>
      </c>
    </row>
    <row r="69" spans="4:6" ht="13.5" thickTop="1">
      <c r="D69" s="45"/>
      <c r="F69" s="45"/>
    </row>
    <row r="70" spans="2:6" ht="12.75">
      <c r="B70" s="116" t="s">
        <v>63</v>
      </c>
      <c r="D70" s="45">
        <v>422.2</v>
      </c>
      <c r="F70" s="45">
        <v>414.4</v>
      </c>
    </row>
    <row r="71" spans="2:6" ht="12.75">
      <c r="B71" s="116" t="s">
        <v>64</v>
      </c>
      <c r="D71" s="48">
        <v>132.5</v>
      </c>
      <c r="F71" s="48">
        <v>124.6</v>
      </c>
    </row>
    <row r="72" spans="2:6" ht="13.5" thickBot="1">
      <c r="B72" s="5" t="s">
        <v>67</v>
      </c>
      <c r="D72" s="95">
        <f>SUM(D70:D71)</f>
        <v>554.7</v>
      </c>
      <c r="F72" s="95">
        <f>SUM(F70:F71)</f>
        <v>539</v>
      </c>
    </row>
    <row r="73" spans="4:6" ht="13.5" thickTop="1">
      <c r="D73" s="45"/>
      <c r="F73" s="45"/>
    </row>
    <row r="74" spans="4:6" ht="12.75">
      <c r="D74" s="45"/>
      <c r="F74" s="45"/>
    </row>
    <row r="76" ht="12.75">
      <c r="F76" s="107"/>
    </row>
    <row r="77" ht="12.75">
      <c r="F77" s="107"/>
    </row>
  </sheetData>
  <printOptions/>
  <pageMargins left="0.75" right="0.75" top="1" bottom="1" header="0.5" footer="0.5"/>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O23"/>
  <sheetViews>
    <sheetView zoomScale="90" zoomScaleNormal="90" workbookViewId="0" topLeftCell="A1">
      <pane xSplit="2" ySplit="8" topLeftCell="C9" activePane="bottomRight" state="frozen"/>
      <selection pane="topLeft" activeCell="C19" sqref="C19"/>
      <selection pane="topRight" activeCell="C19" sqref="C19"/>
      <selection pane="bottomLeft" activeCell="C19" sqref="C19"/>
      <selection pane="bottomRight" activeCell="B38" sqref="B38"/>
    </sheetView>
  </sheetViews>
  <sheetFormatPr defaultColWidth="9.140625" defaultRowHeight="12.75"/>
  <cols>
    <col min="1" max="1" width="4.7109375" style="5" customWidth="1"/>
    <col min="2" max="2" width="25.7109375" style="5" customWidth="1"/>
    <col min="3" max="6" width="8.8515625" style="5" bestFit="1" customWidth="1"/>
    <col min="7" max="7" width="2.421875" style="5" customWidth="1"/>
    <col min="8" max="8" width="10.00390625" style="5" bestFit="1" customWidth="1"/>
    <col min="9" max="9" width="9.140625" style="5" bestFit="1" customWidth="1"/>
    <col min="10" max="11" width="8.57421875" style="5" bestFit="1" customWidth="1"/>
    <col min="12" max="12" width="2.421875" style="5" customWidth="1"/>
    <col min="13" max="13" width="8.57421875" style="5" bestFit="1" customWidth="1"/>
    <col min="14" max="16384" width="9.140625" style="5" customWidth="1"/>
  </cols>
  <sheetData>
    <row r="1" spans="1:6" ht="12.75">
      <c r="A1" s="4" t="s">
        <v>109</v>
      </c>
      <c r="B1" s="4"/>
      <c r="C1" s="4"/>
      <c r="D1" s="4"/>
      <c r="E1" s="4"/>
      <c r="F1" s="4"/>
    </row>
    <row r="2" spans="1:6" ht="12.75">
      <c r="A2" s="4" t="s">
        <v>135</v>
      </c>
      <c r="B2" s="4"/>
      <c r="C2" s="4"/>
      <c r="D2" s="4"/>
      <c r="E2" s="4"/>
      <c r="F2" s="4"/>
    </row>
    <row r="3" spans="1:6" ht="12.75">
      <c r="A3" s="4" t="s">
        <v>1</v>
      </c>
      <c r="B3" s="4"/>
      <c r="C3" s="4"/>
      <c r="D3" s="4"/>
      <c r="E3" s="4"/>
      <c r="F3" s="4"/>
    </row>
    <row r="4" spans="1:6" ht="12.75">
      <c r="A4" s="4"/>
      <c r="B4" s="4"/>
      <c r="C4" s="4"/>
      <c r="D4" s="4"/>
      <c r="E4" s="4"/>
      <c r="F4" s="4"/>
    </row>
    <row r="6" ht="13.5" thickBot="1">
      <c r="B6" s="5" t="s">
        <v>138</v>
      </c>
    </row>
    <row r="7" spans="3:15" ht="13.5" thickBot="1">
      <c r="C7" s="62">
        <v>2002</v>
      </c>
      <c r="D7" s="63"/>
      <c r="E7" s="63"/>
      <c r="F7" s="64"/>
      <c r="H7" s="62">
        <v>2003</v>
      </c>
      <c r="I7" s="63"/>
      <c r="J7" s="63"/>
      <c r="K7" s="64"/>
      <c r="M7" s="154">
        <v>2004</v>
      </c>
      <c r="N7" s="155"/>
      <c r="O7" s="156"/>
    </row>
    <row r="8" spans="3:15" ht="12.75">
      <c r="C8" s="94" t="s">
        <v>92</v>
      </c>
      <c r="D8" s="94" t="s">
        <v>93</v>
      </c>
      <c r="E8" s="94" t="s">
        <v>94</v>
      </c>
      <c r="F8" s="94" t="s">
        <v>95</v>
      </c>
      <c r="H8" s="94" t="s">
        <v>92</v>
      </c>
      <c r="I8" s="94" t="s">
        <v>93</v>
      </c>
      <c r="J8" s="94" t="s">
        <v>94</v>
      </c>
      <c r="K8" s="94" t="s">
        <v>95</v>
      </c>
      <c r="M8" s="94" t="s">
        <v>92</v>
      </c>
      <c r="N8" s="94" t="s">
        <v>93</v>
      </c>
      <c r="O8" s="94" t="s">
        <v>94</v>
      </c>
    </row>
    <row r="9" spans="2:13" ht="12.75">
      <c r="B9" s="11" t="s">
        <v>136</v>
      </c>
      <c r="C9" s="11"/>
      <c r="D9" s="11"/>
      <c r="E9" s="11"/>
      <c r="F9" s="11"/>
      <c r="H9" s="11"/>
      <c r="I9" s="11"/>
      <c r="J9" s="11"/>
      <c r="K9" s="11"/>
      <c r="M9" s="11"/>
    </row>
    <row r="10" spans="2:13" ht="12.75">
      <c r="B10" s="11"/>
      <c r="C10" s="11"/>
      <c r="D10" s="11"/>
      <c r="E10" s="11"/>
      <c r="F10" s="11"/>
      <c r="H10" s="11"/>
      <c r="I10" s="11"/>
      <c r="J10" s="11"/>
      <c r="K10" s="11"/>
      <c r="M10" s="11"/>
    </row>
    <row r="11" spans="2:13" ht="12.75">
      <c r="B11" s="12" t="s">
        <v>149</v>
      </c>
      <c r="C11" s="11"/>
      <c r="D11" s="11"/>
      <c r="E11" s="11"/>
      <c r="F11" s="11"/>
      <c r="H11" s="11"/>
      <c r="I11" s="11"/>
      <c r="J11" s="11"/>
      <c r="K11" s="11"/>
      <c r="M11" s="11"/>
    </row>
    <row r="12" spans="2:15" ht="12.75">
      <c r="B12" s="123" t="s">
        <v>150</v>
      </c>
      <c r="C12" s="125">
        <v>632.7</v>
      </c>
      <c r="D12" s="125">
        <v>630.2</v>
      </c>
      <c r="E12" s="125">
        <v>628.2</v>
      </c>
      <c r="F12" s="125">
        <v>626.4</v>
      </c>
      <c r="G12" s="126"/>
      <c r="H12" s="125">
        <v>624.8</v>
      </c>
      <c r="I12" s="125">
        <v>620.5</v>
      </c>
      <c r="J12" s="125">
        <v>617.8</v>
      </c>
      <c r="K12" s="125">
        <v>613.9</v>
      </c>
      <c r="L12" s="126"/>
      <c r="M12" s="125">
        <v>611.8</v>
      </c>
      <c r="N12" s="126">
        <v>606.3</v>
      </c>
      <c r="O12" s="126">
        <v>601.6</v>
      </c>
    </row>
    <row r="13" spans="2:15" ht="12.75">
      <c r="B13" s="123" t="s">
        <v>153</v>
      </c>
      <c r="C13" s="125">
        <v>71.8</v>
      </c>
      <c r="D13" s="125">
        <v>70</v>
      </c>
      <c r="E13" s="125">
        <v>68.2</v>
      </c>
      <c r="F13" s="125">
        <v>66.8</v>
      </c>
      <c r="G13" s="126"/>
      <c r="H13" s="125">
        <v>64.4</v>
      </c>
      <c r="I13" s="125">
        <v>62.3</v>
      </c>
      <c r="J13" s="125">
        <v>60</v>
      </c>
      <c r="K13" s="125">
        <v>58.1</v>
      </c>
      <c r="L13" s="126"/>
      <c r="M13" s="125">
        <v>56</v>
      </c>
      <c r="N13" s="126">
        <v>54</v>
      </c>
      <c r="O13" s="126">
        <v>52.2</v>
      </c>
    </row>
    <row r="14" spans="2:15" ht="12.75">
      <c r="B14" s="123" t="s">
        <v>154</v>
      </c>
      <c r="C14" s="127">
        <v>320.7</v>
      </c>
      <c r="D14" s="127">
        <v>317.2</v>
      </c>
      <c r="E14" s="127">
        <v>312.2</v>
      </c>
      <c r="F14" s="127">
        <v>312.2</v>
      </c>
      <c r="G14" s="126"/>
      <c r="H14" s="127">
        <v>312.9</v>
      </c>
      <c r="I14" s="127">
        <v>309.9</v>
      </c>
      <c r="J14" s="127">
        <v>307.9</v>
      </c>
      <c r="K14" s="127">
        <v>304.6</v>
      </c>
      <c r="L14" s="126"/>
      <c r="M14" s="127">
        <v>301.5</v>
      </c>
      <c r="N14" s="128">
        <v>299.6</v>
      </c>
      <c r="O14" s="128">
        <v>298.3</v>
      </c>
    </row>
    <row r="15" spans="2:15" ht="12.75">
      <c r="B15" s="12" t="s">
        <v>151</v>
      </c>
      <c r="C15" s="92">
        <v>1025.2</v>
      </c>
      <c r="D15" s="92">
        <v>1017.4</v>
      </c>
      <c r="E15" s="92">
        <v>1008.6</v>
      </c>
      <c r="F15" s="92">
        <v>1005.4</v>
      </c>
      <c r="G15" s="92"/>
      <c r="H15" s="92">
        <f>SUM(H12:H14)</f>
        <v>1002.0999999999999</v>
      </c>
      <c r="I15" s="92">
        <f>SUM(I12:I14)</f>
        <v>992.6999999999999</v>
      </c>
      <c r="J15" s="92">
        <f>SUM(J12:J14)</f>
        <v>985.6999999999999</v>
      </c>
      <c r="K15" s="92">
        <f>SUM(K12:K14)</f>
        <v>976.6</v>
      </c>
      <c r="L15" s="110"/>
      <c r="M15" s="92">
        <f>SUM(M12:M14)</f>
        <v>969.3</v>
      </c>
      <c r="N15" s="92">
        <f>SUM(N12:N14)</f>
        <v>959.9</v>
      </c>
      <c r="O15" s="92">
        <f>SUM(O12:O14)</f>
        <v>952.1000000000001</v>
      </c>
    </row>
    <row r="16" spans="2:15" ht="12.75">
      <c r="B16" s="12"/>
      <c r="C16" s="92"/>
      <c r="D16" s="92"/>
      <c r="E16" s="92"/>
      <c r="F16" s="92"/>
      <c r="G16" s="92"/>
      <c r="H16" s="92"/>
      <c r="I16" s="92"/>
      <c r="J16" s="92"/>
      <c r="K16" s="92"/>
      <c r="L16" s="110"/>
      <c r="M16" s="92"/>
      <c r="N16" s="92"/>
      <c r="O16" s="92"/>
    </row>
    <row r="17" spans="2:15" ht="12.75">
      <c r="B17" s="12" t="s">
        <v>152</v>
      </c>
      <c r="C17" s="92"/>
      <c r="D17" s="92"/>
      <c r="E17" s="92"/>
      <c r="F17" s="92"/>
      <c r="G17" s="92"/>
      <c r="H17" s="92"/>
      <c r="I17" s="92"/>
      <c r="J17" s="92"/>
      <c r="K17" s="92"/>
      <c r="L17" s="110"/>
      <c r="M17" s="92"/>
      <c r="N17" s="92"/>
      <c r="O17" s="92"/>
    </row>
    <row r="18" spans="2:15" ht="12.75">
      <c r="B18" s="123" t="s">
        <v>150</v>
      </c>
      <c r="C18" s="92">
        <v>0.4</v>
      </c>
      <c r="D18" s="92">
        <v>0.8</v>
      </c>
      <c r="E18" s="92">
        <v>1.5</v>
      </c>
      <c r="F18" s="92">
        <v>1.9</v>
      </c>
      <c r="G18" s="92"/>
      <c r="H18" s="92">
        <v>2.3</v>
      </c>
      <c r="I18" s="92">
        <v>2.7</v>
      </c>
      <c r="J18" s="92">
        <v>3.1</v>
      </c>
      <c r="K18" s="92">
        <v>3.4</v>
      </c>
      <c r="L18" s="110"/>
      <c r="M18" s="92">
        <v>4.6</v>
      </c>
      <c r="N18" s="92">
        <v>10.9</v>
      </c>
      <c r="O18" s="92">
        <v>15.8</v>
      </c>
    </row>
    <row r="19" spans="2:15" ht="12.75">
      <c r="B19" s="123" t="s">
        <v>153</v>
      </c>
      <c r="C19" s="92">
        <v>0</v>
      </c>
      <c r="D19" s="92">
        <v>0</v>
      </c>
      <c r="E19" s="92">
        <v>0.1</v>
      </c>
      <c r="F19" s="92">
        <v>0.1</v>
      </c>
      <c r="G19" s="92"/>
      <c r="H19" s="92">
        <v>0.1</v>
      </c>
      <c r="I19" s="92">
        <v>0.1</v>
      </c>
      <c r="J19" s="92">
        <v>0.2</v>
      </c>
      <c r="K19" s="92">
        <v>0.2</v>
      </c>
      <c r="L19" s="110"/>
      <c r="M19" s="92">
        <v>0.2</v>
      </c>
      <c r="N19" s="92">
        <v>0.6</v>
      </c>
      <c r="O19" s="92">
        <v>0.7</v>
      </c>
    </row>
    <row r="20" spans="2:15" ht="12.75">
      <c r="B20" s="123" t="s">
        <v>154</v>
      </c>
      <c r="C20" s="124">
        <v>2.9</v>
      </c>
      <c r="D20" s="124">
        <v>3.3</v>
      </c>
      <c r="E20" s="124">
        <v>3.7</v>
      </c>
      <c r="F20" s="124">
        <v>4.5</v>
      </c>
      <c r="G20" s="92"/>
      <c r="H20" s="124">
        <v>4.7</v>
      </c>
      <c r="I20" s="124">
        <v>5</v>
      </c>
      <c r="J20" s="124">
        <v>5.2</v>
      </c>
      <c r="K20" s="124">
        <v>5.6</v>
      </c>
      <c r="L20" s="110"/>
      <c r="M20" s="124">
        <v>6.8</v>
      </c>
      <c r="N20" s="124">
        <v>8</v>
      </c>
      <c r="O20" s="124">
        <v>9.9</v>
      </c>
    </row>
    <row r="21" spans="2:15" ht="12.75">
      <c r="B21" s="12" t="s">
        <v>155</v>
      </c>
      <c r="C21" s="92">
        <v>3.3</v>
      </c>
      <c r="D21" s="92">
        <v>4.1</v>
      </c>
      <c r="E21" s="92">
        <v>5.3</v>
      </c>
      <c r="F21" s="92">
        <v>6.5</v>
      </c>
      <c r="G21" s="92"/>
      <c r="H21" s="92">
        <f>SUM(H18:H20)</f>
        <v>7.1</v>
      </c>
      <c r="I21" s="92">
        <f>SUM(I18:I20)</f>
        <v>7.800000000000001</v>
      </c>
      <c r="J21" s="92">
        <f>SUM(J18:J20)</f>
        <v>8.5</v>
      </c>
      <c r="K21" s="92">
        <f>SUM(K18:K20)</f>
        <v>9.2</v>
      </c>
      <c r="L21" s="110"/>
      <c r="M21" s="92">
        <f>SUM(M18:M20)</f>
        <v>11.6</v>
      </c>
      <c r="N21" s="92">
        <f>SUM(N18:N20)</f>
        <v>19.5</v>
      </c>
      <c r="O21" s="92">
        <f>SUM(O18:O20)</f>
        <v>26.4</v>
      </c>
    </row>
    <row r="22" spans="2:15" ht="12.75">
      <c r="B22" s="12"/>
      <c r="C22" s="92"/>
      <c r="D22" s="92"/>
      <c r="E22" s="92"/>
      <c r="F22" s="92"/>
      <c r="G22" s="92"/>
      <c r="H22" s="92"/>
      <c r="I22" s="92"/>
      <c r="J22" s="92"/>
      <c r="K22" s="92"/>
      <c r="L22" s="110"/>
      <c r="M22" s="92"/>
      <c r="N22" s="92"/>
      <c r="O22" s="92"/>
    </row>
    <row r="23" spans="2:15" ht="13.5" thickBot="1">
      <c r="B23" s="16" t="s">
        <v>137</v>
      </c>
      <c r="C23" s="111">
        <f>C15+C21</f>
        <v>1028.5</v>
      </c>
      <c r="D23" s="111">
        <f>D15+D21</f>
        <v>1021.5</v>
      </c>
      <c r="E23" s="111">
        <f>E15+E21</f>
        <v>1013.9</v>
      </c>
      <c r="F23" s="111">
        <f>F15+F21</f>
        <v>1011.9</v>
      </c>
      <c r="G23" s="110"/>
      <c r="H23" s="111">
        <f>H15+H21</f>
        <v>1009.1999999999999</v>
      </c>
      <c r="I23" s="111">
        <f>I15+I21</f>
        <v>1000.4999999999999</v>
      </c>
      <c r="J23" s="111">
        <f>J15+J21</f>
        <v>994.1999999999999</v>
      </c>
      <c r="K23" s="111">
        <f>K15+K21</f>
        <v>985.8000000000001</v>
      </c>
      <c r="L23" s="110"/>
      <c r="M23" s="111">
        <f>M15+M21</f>
        <v>980.9</v>
      </c>
      <c r="N23" s="111">
        <f>N15+N21</f>
        <v>979.4</v>
      </c>
      <c r="O23" s="111">
        <f>O15+O21</f>
        <v>978.5000000000001</v>
      </c>
    </row>
    <row r="24" ht="13.5" thickTop="1"/>
  </sheetData>
  <mergeCells count="1">
    <mergeCell ref="M7:O7"/>
  </mergeCells>
  <printOptions/>
  <pageMargins left="0.75" right="0.75" top="0.33" bottom="1" header="0.84" footer="0.5"/>
  <pageSetup fitToHeight="1" fitToWidth="1" horizontalDpi="300" verticalDpi="300" orientation="landscape" scale="92" r:id="rId1"/>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zoomScale="90" zoomScaleNormal="90" workbookViewId="0" topLeftCell="A1">
      <pane xSplit="3" ySplit="7" topLeftCell="D8" activePane="bottomRight" state="frozen"/>
      <selection pane="topLeft" activeCell="B38" sqref="B38"/>
      <selection pane="topRight" activeCell="B38" sqref="B38"/>
      <selection pane="bottomLeft" activeCell="B38" sqref="B38"/>
      <selection pane="bottomRight" activeCell="B37" sqref="B37"/>
    </sheetView>
  </sheetViews>
  <sheetFormatPr defaultColWidth="9.140625" defaultRowHeight="12.75"/>
  <cols>
    <col min="1" max="1" width="2.8515625" style="5" customWidth="1"/>
    <col min="2" max="2" width="66.140625" style="5" bestFit="1" customWidth="1"/>
    <col min="3" max="3" width="2.8515625" style="5" customWidth="1"/>
    <col min="4" max="4" width="10.7109375" style="5" customWidth="1"/>
    <col min="5" max="5" width="3.140625" style="5" customWidth="1"/>
    <col min="6" max="6" width="10.57421875" style="5" bestFit="1" customWidth="1"/>
    <col min="7" max="7" width="3.140625" style="5" customWidth="1"/>
    <col min="8" max="8" width="9.140625" style="5" customWidth="1"/>
    <col min="9" max="9" width="2.28125" style="5" customWidth="1"/>
    <col min="10" max="10" width="11.28125" style="5" customWidth="1"/>
    <col min="11" max="11" width="3.140625" style="5" customWidth="1"/>
    <col min="12" max="12" width="10.57421875" style="5" bestFit="1" customWidth="1"/>
    <col min="13" max="13" width="3.140625" style="5" customWidth="1"/>
    <col min="14" max="16384" width="9.140625" style="5" customWidth="1"/>
  </cols>
  <sheetData>
    <row r="1" spans="1:10" ht="12.75">
      <c r="A1" s="4" t="s">
        <v>57</v>
      </c>
      <c r="D1" s="32"/>
      <c r="J1" s="32"/>
    </row>
    <row r="2" spans="1:3" ht="12.75">
      <c r="A2" s="4" t="s">
        <v>76</v>
      </c>
      <c r="B2" s="4"/>
      <c r="C2" s="4"/>
    </row>
    <row r="3" spans="1:11" ht="12.75">
      <c r="A3" s="4" t="s">
        <v>1</v>
      </c>
      <c r="D3" s="32"/>
      <c r="E3" s="32"/>
      <c r="J3" s="32"/>
      <c r="K3" s="32"/>
    </row>
    <row r="4" spans="1:11" ht="12.75">
      <c r="A4" s="4"/>
      <c r="D4" s="32"/>
      <c r="E4" s="32"/>
      <c r="J4" s="32"/>
      <c r="K4" s="32"/>
    </row>
    <row r="5" spans="1:12" ht="12.75">
      <c r="A5" s="4"/>
      <c r="B5" s="5" t="s">
        <v>55</v>
      </c>
      <c r="D5" s="157" t="s">
        <v>12</v>
      </c>
      <c r="E5" s="157"/>
      <c r="F5" s="157"/>
      <c r="J5" s="157" t="s">
        <v>147</v>
      </c>
      <c r="K5" s="157"/>
      <c r="L5" s="157"/>
    </row>
    <row r="6" spans="1:14" ht="12.75">
      <c r="A6" s="4"/>
      <c r="D6" s="157" t="s">
        <v>146</v>
      </c>
      <c r="E6" s="157"/>
      <c r="F6" s="157"/>
      <c r="H6" s="6" t="s">
        <v>13</v>
      </c>
      <c r="J6" s="157" t="s">
        <v>146</v>
      </c>
      <c r="K6" s="157"/>
      <c r="L6" s="157"/>
      <c r="N6" s="6" t="s">
        <v>13</v>
      </c>
    </row>
    <row r="7" spans="2:14" ht="12.75">
      <c r="B7" s="4"/>
      <c r="D7" s="54">
        <v>2004</v>
      </c>
      <c r="E7" s="53"/>
      <c r="F7" s="54">
        <v>2003</v>
      </c>
      <c r="H7" s="10" t="s">
        <v>14</v>
      </c>
      <c r="J7" s="54">
        <v>2004</v>
      </c>
      <c r="K7" s="53"/>
      <c r="L7" s="54">
        <v>2003</v>
      </c>
      <c r="N7" s="10" t="s">
        <v>14</v>
      </c>
    </row>
    <row r="8" spans="2:14" ht="12.75">
      <c r="B8" s="4"/>
      <c r="D8" s="53"/>
      <c r="E8" s="53"/>
      <c r="F8" s="112"/>
      <c r="H8" s="49"/>
      <c r="J8" s="53"/>
      <c r="K8" s="53"/>
      <c r="L8" s="112"/>
      <c r="N8" s="49"/>
    </row>
    <row r="9" spans="2:14" ht="12.75">
      <c r="B9" s="117" t="s">
        <v>74</v>
      </c>
      <c r="D9" s="45"/>
      <c r="E9" s="74"/>
      <c r="F9" s="45"/>
      <c r="H9" s="6"/>
      <c r="J9" s="45"/>
      <c r="K9" s="74"/>
      <c r="L9" s="45"/>
      <c r="N9" s="6"/>
    </row>
    <row r="10" spans="2:14" ht="12.75">
      <c r="B10" s="5" t="s">
        <v>26</v>
      </c>
      <c r="D10" s="46">
        <v>307.9</v>
      </c>
      <c r="E10" s="46"/>
      <c r="F10" s="46">
        <v>315.3</v>
      </c>
      <c r="H10" s="14">
        <f>(D10-F10)/F10</f>
        <v>-0.023469711385981713</v>
      </c>
      <c r="J10" s="46">
        <v>907.3</v>
      </c>
      <c r="K10" s="46"/>
      <c r="L10" s="46">
        <v>1246.6</v>
      </c>
      <c r="N10" s="14">
        <f>(J10-L10)/L10</f>
        <v>-0.2721803304989571</v>
      </c>
    </row>
    <row r="11" spans="2:14" ht="12.75">
      <c r="B11" s="5" t="s">
        <v>45</v>
      </c>
      <c r="D11" s="45"/>
      <c r="E11" s="74"/>
      <c r="F11" s="45"/>
      <c r="H11" s="14"/>
      <c r="J11" s="45"/>
      <c r="K11" s="74"/>
      <c r="L11" s="45"/>
      <c r="N11" s="14"/>
    </row>
    <row r="12" spans="2:14" ht="12.75">
      <c r="B12" s="98" t="s">
        <v>78</v>
      </c>
      <c r="D12" s="45">
        <v>0</v>
      </c>
      <c r="E12" s="74"/>
      <c r="F12" s="45">
        <v>0</v>
      </c>
      <c r="H12" s="67" t="str">
        <f>IF(OR(F12=0,D12=0),"n/m",IF(ABS((D12-F12)/F12)&gt;2,"n/m",((D12-F12)/F12)))</f>
        <v>n/m</v>
      </c>
      <c r="J12" s="45">
        <v>0</v>
      </c>
      <c r="K12" s="74"/>
      <c r="L12" s="45">
        <v>332.4</v>
      </c>
      <c r="N12" s="67" t="str">
        <f>IF(OR(L12=0,J12=0),"n/m",IF(ABS((J12-L12)/L12)&gt;2,"n/m",((J12-L12)/L12)))</f>
        <v>n/m</v>
      </c>
    </row>
    <row r="13" spans="2:14" ht="12.75">
      <c r="B13" s="98" t="s">
        <v>79</v>
      </c>
      <c r="D13" s="48">
        <v>0</v>
      </c>
      <c r="E13" s="74"/>
      <c r="F13" s="48">
        <v>0</v>
      </c>
      <c r="H13" s="67" t="str">
        <f>IF(OR(F13=0,D13=0),"n/m",IF(ABS((D13-F13)/F13)&gt;2,"n/m",((D13-F13)/F13)))</f>
        <v>n/m</v>
      </c>
      <c r="J13" s="48">
        <v>0</v>
      </c>
      <c r="K13" s="74"/>
      <c r="L13" s="48">
        <v>-30.3</v>
      </c>
      <c r="N13" s="67" t="str">
        <f>IF(OR(L13=0,J13=0),"n/m",IF(ABS((J13-L13)/L13)&gt;2,"n/m",((J13-L13)/L13)))</f>
        <v>n/m</v>
      </c>
    </row>
    <row r="14" spans="4:14" ht="12.75">
      <c r="D14" s="45"/>
      <c r="E14" s="74"/>
      <c r="F14" s="45"/>
      <c r="H14" s="14"/>
      <c r="J14" s="45"/>
      <c r="K14" s="74"/>
      <c r="L14" s="45"/>
      <c r="N14" s="14"/>
    </row>
    <row r="15" spans="2:14" ht="13.5" thickBot="1">
      <c r="B15" s="5" t="s">
        <v>77</v>
      </c>
      <c r="D15" s="75">
        <f>D10-SUM(D12:D13)</f>
        <v>307.9</v>
      </c>
      <c r="E15" s="73"/>
      <c r="F15" s="75">
        <f>F10-SUM(F12:F13)</f>
        <v>315.3</v>
      </c>
      <c r="H15" s="14">
        <f>(D15-F15)/F15</f>
        <v>-0.023469711385981713</v>
      </c>
      <c r="I15" s="35"/>
      <c r="J15" s="75">
        <f>J10-SUM(J12:J13)</f>
        <v>907.3</v>
      </c>
      <c r="K15" s="73"/>
      <c r="L15" s="75">
        <f>L10-SUM(L12:L13)</f>
        <v>944.5</v>
      </c>
      <c r="N15" s="14">
        <f>(J15-L15)/L15</f>
        <v>-0.03938591847538385</v>
      </c>
    </row>
    <row r="16" spans="4:12" ht="13.5" thickTop="1">
      <c r="D16" s="74"/>
      <c r="E16" s="74"/>
      <c r="F16" s="74"/>
      <c r="J16" s="74"/>
      <c r="K16" s="74"/>
      <c r="L16" s="74"/>
    </row>
    <row r="19" spans="2:14" ht="12.75">
      <c r="B19" s="117" t="s">
        <v>75</v>
      </c>
      <c r="D19" s="45"/>
      <c r="E19" s="74"/>
      <c r="F19" s="45"/>
      <c r="H19" s="6"/>
      <c r="J19" s="45"/>
      <c r="K19" s="74"/>
      <c r="L19" s="45"/>
      <c r="N19" s="6"/>
    </row>
    <row r="20" spans="2:14" ht="12.75">
      <c r="B20" s="5" t="s">
        <v>54</v>
      </c>
      <c r="D20" s="46">
        <f>'CY v. PY Qtr &amp; YTD'!C21</f>
        <v>82.59999999999997</v>
      </c>
      <c r="E20" s="46"/>
      <c r="F20" s="46">
        <v>129.6</v>
      </c>
      <c r="H20" s="14">
        <f>(D20-F20)/F20</f>
        <v>-0.36265432098765454</v>
      </c>
      <c r="J20" s="46">
        <f>'CY v. PY Qtr &amp; YTD'!I21</f>
        <v>235.79999999999995</v>
      </c>
      <c r="K20" s="46"/>
      <c r="L20" s="46">
        <v>623.9</v>
      </c>
      <c r="N20" s="14">
        <f>(J20-L20)/L20</f>
        <v>-0.6220548164769996</v>
      </c>
    </row>
    <row r="21" spans="2:14" ht="12.75">
      <c r="B21" s="5" t="s">
        <v>45</v>
      </c>
      <c r="D21" s="45"/>
      <c r="E21" s="74"/>
      <c r="F21" s="45"/>
      <c r="H21" s="14"/>
      <c r="J21" s="45"/>
      <c r="K21" s="74"/>
      <c r="L21" s="45"/>
      <c r="N21" s="14"/>
    </row>
    <row r="22" spans="2:14" ht="12.75">
      <c r="B22" s="98" t="s">
        <v>107</v>
      </c>
      <c r="D22" s="48">
        <v>2.8</v>
      </c>
      <c r="E22" s="74"/>
      <c r="F22" s="48">
        <v>31.7</v>
      </c>
      <c r="H22" s="14">
        <f>(D22-F22)/F22</f>
        <v>-0.9116719242902208</v>
      </c>
      <c r="J22" s="48">
        <v>4.3</v>
      </c>
      <c r="K22" s="74"/>
      <c r="L22" s="48">
        <v>343.9</v>
      </c>
      <c r="N22" s="14">
        <f>(J22-L22)/L22</f>
        <v>-0.9874963652224483</v>
      </c>
    </row>
    <row r="23" spans="5:14" ht="12.75">
      <c r="E23" s="74"/>
      <c r="F23" s="45"/>
      <c r="H23" s="14"/>
      <c r="K23" s="74"/>
      <c r="L23" s="45"/>
      <c r="N23" s="14"/>
    </row>
    <row r="24" spans="2:14" ht="13.5" thickBot="1">
      <c r="B24" s="5" t="s">
        <v>80</v>
      </c>
      <c r="D24" s="75">
        <f>D20-SUM(D22:D22)</f>
        <v>79.79999999999997</v>
      </c>
      <c r="E24" s="73"/>
      <c r="F24" s="75">
        <f>F20-SUM(F22:F22)</f>
        <v>97.89999999999999</v>
      </c>
      <c r="H24" s="14">
        <f>(D24-F24)/F24</f>
        <v>-0.18488253319714018</v>
      </c>
      <c r="I24" s="35"/>
      <c r="J24" s="75">
        <f>J20-SUM(J22:J22)</f>
        <v>231.49999999999994</v>
      </c>
      <c r="K24" s="73"/>
      <c r="L24" s="75">
        <f>L20-SUM(L22:L22)</f>
        <v>280</v>
      </c>
      <c r="N24" s="14">
        <f>(J24-L24)/L24</f>
        <v>-0.1732142857142859</v>
      </c>
    </row>
    <row r="25" ht="13.5" thickTop="1"/>
    <row r="26" spans="5:14" ht="12.75">
      <c r="E26" s="118"/>
      <c r="G26" s="118"/>
      <c r="H26" s="35"/>
      <c r="I26" s="35"/>
      <c r="K26" s="118"/>
      <c r="M26" s="118"/>
      <c r="N26" s="35"/>
    </row>
    <row r="27" spans="4:14" ht="12.75">
      <c r="D27" s="118"/>
      <c r="E27" s="35"/>
      <c r="F27" s="118"/>
      <c r="H27" s="14"/>
      <c r="J27" s="118"/>
      <c r="K27" s="35"/>
      <c r="L27" s="118"/>
      <c r="N27" s="14"/>
    </row>
    <row r="28" spans="4:14" ht="12.75">
      <c r="D28" s="35"/>
      <c r="F28" s="35"/>
      <c r="H28" s="56"/>
      <c r="J28" s="35"/>
      <c r="L28" s="35"/>
      <c r="N28" s="56"/>
    </row>
    <row r="30" spans="4:12" ht="12.75">
      <c r="D30" s="118"/>
      <c r="E30" s="118"/>
      <c r="F30" s="118"/>
      <c r="J30" s="118"/>
      <c r="K30" s="118"/>
      <c r="L30" s="118"/>
    </row>
  </sheetData>
  <mergeCells count="4">
    <mergeCell ref="D5:F5"/>
    <mergeCell ref="D6:F6"/>
    <mergeCell ref="J5:L5"/>
    <mergeCell ref="J6:L6"/>
  </mergeCells>
  <printOptions/>
  <pageMargins left="0.75" right="0.75" top="1" bottom="1" header="0.5" footer="0.5"/>
  <pageSetup fitToHeight="1" fitToWidth="1" horizontalDpi="300" verticalDpi="300" orientation="portrait" scale="61"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90" zoomScaleNormal="90" workbookViewId="0" topLeftCell="A1">
      <selection activeCell="D26" sqref="D26"/>
    </sheetView>
  </sheetViews>
  <sheetFormatPr defaultColWidth="9.140625" defaultRowHeight="12.75"/>
  <cols>
    <col min="1" max="1" width="2.8515625" style="79" customWidth="1"/>
    <col min="2" max="2" width="58.421875" style="79" customWidth="1"/>
    <col min="3" max="3" width="3.28125" style="79" customWidth="1"/>
    <col min="4" max="4" width="13.421875" style="79" bestFit="1" customWidth="1"/>
    <col min="5" max="5" width="2.8515625" style="79" customWidth="1"/>
    <col min="6" max="6" width="13.421875" style="79" bestFit="1" customWidth="1"/>
    <col min="7" max="7" width="3.140625" style="79" customWidth="1"/>
    <col min="8" max="8" width="10.57421875" style="79" bestFit="1" customWidth="1"/>
    <col min="9" max="9" width="10.8515625" style="79" customWidth="1"/>
    <col min="10" max="16384" width="9.140625" style="79" customWidth="1"/>
  </cols>
  <sheetData>
    <row r="1" ht="12.75">
      <c r="A1" s="4" t="s">
        <v>57</v>
      </c>
    </row>
    <row r="2" spans="1:2" ht="13.5" customHeight="1">
      <c r="A2" s="4" t="s">
        <v>40</v>
      </c>
      <c r="B2" s="4"/>
    </row>
    <row r="3" spans="1:2" ht="12.75">
      <c r="A3" s="4" t="s">
        <v>1</v>
      </c>
      <c r="B3" s="5"/>
    </row>
    <row r="4" spans="1:9" ht="36" customHeight="1">
      <c r="A4" s="4"/>
      <c r="B4" s="5"/>
      <c r="H4" s="158"/>
      <c r="I4" s="158"/>
    </row>
    <row r="5" spans="1:9" ht="12.75">
      <c r="A5" s="4"/>
      <c r="B5" s="5"/>
      <c r="D5" s="112" t="s">
        <v>148</v>
      </c>
      <c r="F5" s="112" t="s">
        <v>2</v>
      </c>
      <c r="H5" s="159" t="s">
        <v>14</v>
      </c>
      <c r="I5" s="159"/>
    </row>
    <row r="6" spans="2:9" ht="12.75">
      <c r="B6" s="5" t="s">
        <v>55</v>
      </c>
      <c r="D6" s="54">
        <v>2004</v>
      </c>
      <c r="F6" s="54">
        <v>2003</v>
      </c>
      <c r="H6" s="54" t="s">
        <v>41</v>
      </c>
      <c r="I6" s="54" t="s">
        <v>13</v>
      </c>
    </row>
    <row r="8" spans="2:9" ht="12.75">
      <c r="B8" s="79" t="s">
        <v>51</v>
      </c>
      <c r="D8" s="113">
        <v>489</v>
      </c>
      <c r="F8" s="113">
        <v>608.4</v>
      </c>
      <c r="H8" s="113">
        <f aca="true" t="shared" si="0" ref="H8:H16">D8-F8</f>
        <v>-119.39999999999998</v>
      </c>
      <c r="I8" s="119">
        <f>H8/F8</f>
        <v>-0.1962524654832347</v>
      </c>
    </row>
    <row r="9" spans="2:9" ht="12.75">
      <c r="B9" s="79" t="s">
        <v>42</v>
      </c>
      <c r="D9" s="78">
        <v>250</v>
      </c>
      <c r="F9" s="78">
        <v>250</v>
      </c>
      <c r="H9" s="78">
        <f t="shared" si="0"/>
        <v>0</v>
      </c>
      <c r="I9" s="120">
        <f>H9/F9</f>
        <v>0</v>
      </c>
    </row>
    <row r="10" spans="2:9" ht="12.75">
      <c r="B10" s="79" t="s">
        <v>70</v>
      </c>
      <c r="D10" s="78">
        <v>500</v>
      </c>
      <c r="F10" s="78">
        <v>500</v>
      </c>
      <c r="H10" s="78">
        <f t="shared" si="0"/>
        <v>0</v>
      </c>
      <c r="I10" s="120">
        <f aca="true" t="shared" si="1" ref="I10:I16">H10/F10</f>
        <v>0</v>
      </c>
    </row>
    <row r="11" spans="2:9" ht="12.75">
      <c r="B11" s="79" t="s">
        <v>59</v>
      </c>
      <c r="D11" s="78">
        <v>371.5</v>
      </c>
      <c r="F11" s="78">
        <v>360.6</v>
      </c>
      <c r="H11" s="78">
        <f t="shared" si="0"/>
        <v>10.899999999999977</v>
      </c>
      <c r="I11" s="119">
        <f t="shared" si="1"/>
        <v>0.03022739877981136</v>
      </c>
    </row>
    <row r="12" spans="2:9" ht="12.75">
      <c r="B12" s="79" t="s">
        <v>69</v>
      </c>
      <c r="D12" s="78">
        <v>50</v>
      </c>
      <c r="F12" s="78">
        <v>50</v>
      </c>
      <c r="H12" s="78">
        <f t="shared" si="0"/>
        <v>0</v>
      </c>
      <c r="I12" s="120">
        <f t="shared" si="1"/>
        <v>0</v>
      </c>
    </row>
    <row r="13" spans="2:9" ht="12.75">
      <c r="B13" s="79" t="s">
        <v>83</v>
      </c>
      <c r="D13" s="78">
        <v>543.7</v>
      </c>
      <c r="F13" s="78">
        <v>540</v>
      </c>
      <c r="H13" s="78">
        <f t="shared" si="0"/>
        <v>3.7000000000000455</v>
      </c>
      <c r="I13" s="119">
        <f t="shared" si="1"/>
        <v>0.006851851851851936</v>
      </c>
    </row>
    <row r="14" spans="2:9" ht="12.75">
      <c r="B14" s="79" t="s">
        <v>58</v>
      </c>
      <c r="D14" s="78">
        <v>16.9</v>
      </c>
      <c r="F14" s="78">
        <v>18.2</v>
      </c>
      <c r="H14" s="78">
        <f t="shared" si="0"/>
        <v>-1.3000000000000007</v>
      </c>
      <c r="I14" s="119">
        <f t="shared" si="1"/>
        <v>-0.07142857142857147</v>
      </c>
    </row>
    <row r="15" spans="2:9" ht="12.75">
      <c r="B15" s="79" t="s">
        <v>108</v>
      </c>
      <c r="D15" s="78">
        <v>1.1</v>
      </c>
      <c r="F15" s="78">
        <v>2.7</v>
      </c>
      <c r="H15" s="78">
        <f t="shared" si="0"/>
        <v>-1.6</v>
      </c>
      <c r="I15" s="119">
        <f t="shared" si="1"/>
        <v>-0.5925925925925926</v>
      </c>
    </row>
    <row r="16" spans="2:9" ht="12.75">
      <c r="B16" s="79" t="s">
        <v>47</v>
      </c>
      <c r="D16" s="114">
        <v>-36</v>
      </c>
      <c r="F16" s="114">
        <v>-42.1</v>
      </c>
      <c r="H16" s="114">
        <f t="shared" si="0"/>
        <v>6.100000000000001</v>
      </c>
      <c r="I16" s="119">
        <f t="shared" si="1"/>
        <v>-0.1448931116389549</v>
      </c>
    </row>
    <row r="17" spans="4:9" ht="12.75">
      <c r="D17" s="78"/>
      <c r="F17" s="78"/>
      <c r="H17" s="78"/>
      <c r="I17" s="119"/>
    </row>
    <row r="18" spans="2:9" ht="12.75">
      <c r="B18" s="79" t="s">
        <v>96</v>
      </c>
      <c r="D18" s="78">
        <f>SUM(D8:D17)</f>
        <v>2186.2</v>
      </c>
      <c r="F18" s="78">
        <f>SUM(F8:F17)</f>
        <v>2287.7999999999997</v>
      </c>
      <c r="H18" s="78">
        <f>D18-F18</f>
        <v>-101.59999999999991</v>
      </c>
      <c r="I18" s="119">
        <f>H18/F18</f>
        <v>-0.04440947635282801</v>
      </c>
    </row>
    <row r="19" spans="4:9" ht="12.75">
      <c r="D19" s="78"/>
      <c r="F19" s="78"/>
      <c r="H19" s="78"/>
      <c r="I19" s="119"/>
    </row>
    <row r="20" spans="2:9" ht="12.75">
      <c r="B20" s="79" t="s">
        <v>141</v>
      </c>
      <c r="D20" s="78">
        <v>-3.7</v>
      </c>
      <c r="F20" s="78">
        <v>0</v>
      </c>
      <c r="H20" s="78">
        <f>D20-F20</f>
        <v>-3.7</v>
      </c>
      <c r="I20" s="120">
        <v>0</v>
      </c>
    </row>
    <row r="21" spans="2:9" ht="12.75">
      <c r="B21" s="79" t="s">
        <v>43</v>
      </c>
      <c r="D21" s="114">
        <v>-23</v>
      </c>
      <c r="F21" s="114">
        <v>-26</v>
      </c>
      <c r="H21" s="114">
        <f>D21-F21</f>
        <v>3</v>
      </c>
      <c r="I21" s="119">
        <f>H21/F21</f>
        <v>-0.11538461538461539</v>
      </c>
    </row>
    <row r="22" spans="8:9" ht="12.75">
      <c r="H22" s="78"/>
      <c r="I22" s="119"/>
    </row>
    <row r="23" spans="2:9" ht="13.5" thickBot="1">
      <c r="B23" s="79" t="s">
        <v>44</v>
      </c>
      <c r="D23" s="38">
        <f>D18+D20+D21</f>
        <v>2159.5</v>
      </c>
      <c r="F23" s="38">
        <f>F18+F20+F21</f>
        <v>2261.7999999999997</v>
      </c>
      <c r="H23" s="38">
        <f>D23-F23</f>
        <v>-102.29999999999973</v>
      </c>
      <c r="I23" s="119">
        <f>H23/F23</f>
        <v>-0.045229463259350844</v>
      </c>
    </row>
    <row r="24" ht="13.5" thickTop="1"/>
    <row r="25" ht="12.75">
      <c r="H25" s="121"/>
    </row>
    <row r="27" spans="4:6" ht="12.75">
      <c r="D27" s="113"/>
      <c r="F27" s="113"/>
    </row>
    <row r="29" ht="12.75">
      <c r="D29" s="113"/>
    </row>
  </sheetData>
  <mergeCells count="2">
    <mergeCell ref="H4:I4"/>
    <mergeCell ref="H5:I5"/>
  </mergeCells>
  <printOptions/>
  <pageMargins left="0.75" right="0.75" top="1" bottom="1" header="0.5" footer="0.5"/>
  <pageSetup fitToHeight="1" fitToWidth="1" horizontalDpi="300" verticalDpi="3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I44"/>
  <sheetViews>
    <sheetView zoomScale="90" zoomScaleNormal="90" workbookViewId="0" topLeftCell="A4">
      <selection activeCell="B28" sqref="B28"/>
    </sheetView>
  </sheetViews>
  <sheetFormatPr defaultColWidth="9.140625" defaultRowHeight="12.75"/>
  <cols>
    <col min="1" max="1" width="2.8515625" style="0" customWidth="1"/>
    <col min="2" max="2" width="66.140625" style="0" bestFit="1" customWidth="1"/>
    <col min="3" max="3" width="2.8515625" style="0" customWidth="1"/>
    <col min="4" max="4" width="16.421875" style="5" customWidth="1"/>
    <col min="5" max="5" width="3.28125" style="0" customWidth="1"/>
    <col min="6" max="6" width="16.421875" style="0" customWidth="1"/>
    <col min="7" max="7" width="4.00390625" style="0" customWidth="1"/>
  </cols>
  <sheetData>
    <row r="1" spans="1:4" ht="12.75">
      <c r="A1" s="1" t="s">
        <v>57</v>
      </c>
      <c r="D1" s="32"/>
    </row>
    <row r="2" spans="1:3" ht="12.75">
      <c r="A2" s="1" t="s">
        <v>111</v>
      </c>
      <c r="B2" s="1"/>
      <c r="C2" s="1"/>
    </row>
    <row r="3" spans="1:5" ht="12.75">
      <c r="A3" s="1" t="s">
        <v>1</v>
      </c>
      <c r="D3" s="32"/>
      <c r="E3" s="33"/>
    </row>
    <row r="4" spans="1:5" ht="12.75">
      <c r="A4" s="1"/>
      <c r="B4" s="96"/>
      <c r="C4" s="5"/>
      <c r="D4" s="32"/>
      <c r="E4" s="32"/>
    </row>
    <row r="5" spans="1:6" ht="12.75">
      <c r="A5" s="1"/>
      <c r="B5" s="5" t="s">
        <v>55</v>
      </c>
      <c r="C5" s="5"/>
      <c r="D5" s="157" t="s">
        <v>12</v>
      </c>
      <c r="E5" s="157"/>
      <c r="F5" s="157"/>
    </row>
    <row r="6" spans="1:6" ht="12.75">
      <c r="A6" s="1"/>
      <c r="B6" s="5"/>
      <c r="C6" s="5"/>
      <c r="D6" s="157" t="s">
        <v>146</v>
      </c>
      <c r="E6" s="157"/>
      <c r="F6" s="157"/>
    </row>
    <row r="7" spans="2:6" ht="12.75">
      <c r="B7" s="4" t="s">
        <v>112</v>
      </c>
      <c r="C7" s="5"/>
      <c r="D7" s="54">
        <v>2004</v>
      </c>
      <c r="E7" s="53"/>
      <c r="F7" s="55">
        <v>2003</v>
      </c>
    </row>
    <row r="8" spans="2:5" ht="12.75">
      <c r="B8" s="5"/>
      <c r="C8" s="5"/>
      <c r="D8" s="32"/>
      <c r="E8" s="32"/>
    </row>
    <row r="9" spans="2:6" ht="12.75">
      <c r="B9" s="5" t="s">
        <v>113</v>
      </c>
      <c r="C9" s="5"/>
      <c r="D9" s="97">
        <v>72</v>
      </c>
      <c r="E9" s="73"/>
      <c r="F9" s="97">
        <v>107.2</v>
      </c>
    </row>
    <row r="10" spans="2:6" ht="12.75">
      <c r="B10" s="5"/>
      <c r="C10" s="5"/>
      <c r="D10" s="35"/>
      <c r="E10" s="73"/>
      <c r="F10" s="35"/>
    </row>
    <row r="11" spans="2:6" ht="12.75">
      <c r="B11" s="98" t="s">
        <v>114</v>
      </c>
      <c r="C11" s="5"/>
      <c r="D11" s="45">
        <v>-38.6</v>
      </c>
      <c r="E11" s="74"/>
      <c r="F11" s="45">
        <v>-37.3</v>
      </c>
    </row>
    <row r="12" spans="2:6" ht="12.75">
      <c r="B12" s="98" t="s">
        <v>115</v>
      </c>
      <c r="C12" s="5"/>
      <c r="D12" s="45">
        <v>0</v>
      </c>
      <c r="E12" s="74"/>
      <c r="F12" s="45">
        <v>20.5</v>
      </c>
    </row>
    <row r="13" spans="2:6" ht="12.75">
      <c r="B13" s="98" t="s">
        <v>110</v>
      </c>
      <c r="C13" s="5"/>
      <c r="D13" s="48">
        <v>1.6</v>
      </c>
      <c r="E13" s="74"/>
      <c r="F13" s="48">
        <v>1.4</v>
      </c>
    </row>
    <row r="14" spans="2:6" ht="12.75">
      <c r="B14" s="5" t="s">
        <v>116</v>
      </c>
      <c r="C14" s="5"/>
      <c r="D14" s="99">
        <f>SUM(D11:D13)</f>
        <v>-37</v>
      </c>
      <c r="E14" s="74"/>
      <c r="F14" s="99">
        <f>SUM(F11:F13)</f>
        <v>-15.399999999999997</v>
      </c>
    </row>
    <row r="15" spans="2:6" ht="12.75">
      <c r="B15" s="5"/>
      <c r="C15" s="5"/>
      <c r="D15" s="45"/>
      <c r="E15" s="74"/>
      <c r="F15" s="45"/>
    </row>
    <row r="16" spans="2:6" ht="12.75">
      <c r="B16" s="98" t="s">
        <v>117</v>
      </c>
      <c r="C16" s="5"/>
      <c r="D16" s="45">
        <v>0</v>
      </c>
      <c r="E16" s="74"/>
      <c r="F16" s="45">
        <v>500</v>
      </c>
    </row>
    <row r="17" spans="2:6" ht="12.75">
      <c r="B17" s="98" t="s">
        <v>118</v>
      </c>
      <c r="C17" s="5"/>
      <c r="D17" s="45">
        <v>-32</v>
      </c>
      <c r="E17" s="74"/>
      <c r="F17" s="45">
        <v>-569.5</v>
      </c>
    </row>
    <row r="18" spans="2:6" ht="12.75">
      <c r="B18" s="98" t="s">
        <v>119</v>
      </c>
      <c r="C18" s="5"/>
      <c r="D18" s="45">
        <v>-0.9</v>
      </c>
      <c r="E18" s="74"/>
      <c r="F18" s="45">
        <v>-2</v>
      </c>
    </row>
    <row r="19" spans="2:6" ht="12.75">
      <c r="B19" s="98" t="s">
        <v>120</v>
      </c>
      <c r="C19" s="5"/>
      <c r="D19" s="45">
        <v>0</v>
      </c>
      <c r="E19" s="74"/>
      <c r="F19" s="45">
        <v>-17.8</v>
      </c>
    </row>
    <row r="20" spans="2:6" ht="12.75">
      <c r="B20" s="98" t="s">
        <v>121</v>
      </c>
      <c r="C20" s="5"/>
      <c r="D20" s="45">
        <v>0.1</v>
      </c>
      <c r="E20" s="74"/>
      <c r="F20" s="45">
        <v>0.2</v>
      </c>
    </row>
    <row r="21" spans="2:6" ht="12.75">
      <c r="B21" s="98" t="s">
        <v>122</v>
      </c>
      <c r="C21" s="5"/>
      <c r="D21" s="74">
        <v>-2.6</v>
      </c>
      <c r="E21" s="74"/>
      <c r="F21" s="74">
        <v>0</v>
      </c>
    </row>
    <row r="22" spans="2:6" ht="12.75">
      <c r="B22" s="98" t="s">
        <v>110</v>
      </c>
      <c r="C22" s="5"/>
      <c r="D22" s="48">
        <v>1.1</v>
      </c>
      <c r="E22" s="74"/>
      <c r="F22" s="48">
        <v>0</v>
      </c>
    </row>
    <row r="23" spans="2:6" ht="12.75">
      <c r="B23" s="5" t="s">
        <v>123</v>
      </c>
      <c r="C23" s="5"/>
      <c r="D23" s="99">
        <f>SUM(D16:D22)</f>
        <v>-34.3</v>
      </c>
      <c r="E23" s="74"/>
      <c r="F23" s="99">
        <f>SUM(F16:F22)</f>
        <v>-89.1</v>
      </c>
    </row>
    <row r="24" spans="2:6" ht="12.75">
      <c r="B24" s="98"/>
      <c r="C24" s="5"/>
      <c r="D24" s="74"/>
      <c r="E24" s="74"/>
      <c r="F24" s="74"/>
    </row>
    <row r="25" spans="2:6" ht="12.75">
      <c r="B25" s="100" t="s">
        <v>185</v>
      </c>
      <c r="D25" s="45">
        <f>D9+D14+D23</f>
        <v>0.7000000000000028</v>
      </c>
      <c r="E25" s="74"/>
      <c r="F25" s="45">
        <f>F9+F14+F23</f>
        <v>2.700000000000017</v>
      </c>
    </row>
    <row r="26" spans="2:6" ht="12.75">
      <c r="B26" s="100" t="s">
        <v>124</v>
      </c>
      <c r="D26" s="48">
        <v>22.3</v>
      </c>
      <c r="E26" s="74"/>
      <c r="F26" s="48">
        <v>30.2</v>
      </c>
    </row>
    <row r="27" spans="2:6" ht="13.5" thickBot="1">
      <c r="B27" s="100" t="s">
        <v>125</v>
      </c>
      <c r="D27" s="101">
        <f>D25+D26</f>
        <v>23.000000000000004</v>
      </c>
      <c r="E27" s="73"/>
      <c r="F27" s="101">
        <f>F25+F26</f>
        <v>32.90000000000002</v>
      </c>
    </row>
    <row r="28" spans="2:6" ht="13.5" thickTop="1">
      <c r="B28" s="37"/>
      <c r="D28" s="45"/>
      <c r="E28" s="74"/>
      <c r="F28" s="45"/>
    </row>
    <row r="29" spans="2:6" ht="12.75">
      <c r="B29" s="37"/>
      <c r="D29" s="45"/>
      <c r="E29" s="74"/>
      <c r="F29" s="45"/>
    </row>
    <row r="30" spans="2:6" ht="12.75">
      <c r="B30" s="39" t="s">
        <v>126</v>
      </c>
      <c r="D30" s="45"/>
      <c r="E30" s="74"/>
      <c r="F30" s="45"/>
    </row>
    <row r="31" spans="2:6" ht="12.75">
      <c r="B31" s="100" t="s">
        <v>185</v>
      </c>
      <c r="D31" s="35">
        <f>D25</f>
        <v>0.7000000000000028</v>
      </c>
      <c r="E31" s="73"/>
      <c r="F31" s="35">
        <f>F25</f>
        <v>2.700000000000017</v>
      </c>
    </row>
    <row r="32" spans="2:6" ht="12.75">
      <c r="B32" t="s">
        <v>45</v>
      </c>
      <c r="D32" s="45"/>
      <c r="E32" s="74"/>
      <c r="F32" s="45"/>
    </row>
    <row r="33" spans="2:6" ht="12.75">
      <c r="B33" s="98" t="s">
        <v>127</v>
      </c>
      <c r="D33" s="45">
        <f>D16</f>
        <v>0</v>
      </c>
      <c r="E33" s="45"/>
      <c r="F33" s="45">
        <f>F16</f>
        <v>500</v>
      </c>
    </row>
    <row r="34" spans="2:6" ht="12.75">
      <c r="B34" s="37" t="s">
        <v>128</v>
      </c>
      <c r="D34" s="45">
        <f>D17</f>
        <v>-32</v>
      </c>
      <c r="E34" s="45"/>
      <c r="F34" s="45">
        <f>F17</f>
        <v>-569.5</v>
      </c>
    </row>
    <row r="35" spans="2:7" ht="12.75">
      <c r="B35" s="37" t="s">
        <v>129</v>
      </c>
      <c r="D35" s="74">
        <f>D18</f>
        <v>-0.9</v>
      </c>
      <c r="E35" s="74"/>
      <c r="F35" s="74">
        <f>F18</f>
        <v>-2</v>
      </c>
      <c r="G35" s="33"/>
    </row>
    <row r="36" spans="2:7" ht="12.75">
      <c r="B36" s="37" t="s">
        <v>130</v>
      </c>
      <c r="D36" s="48">
        <f>D12</f>
        <v>0</v>
      </c>
      <c r="E36" s="74"/>
      <c r="F36" s="48">
        <f>F12</f>
        <v>20.5</v>
      </c>
      <c r="G36" s="33"/>
    </row>
    <row r="37" spans="4:6" ht="12.75">
      <c r="D37" s="45"/>
      <c r="E37" s="74"/>
      <c r="F37" s="45"/>
    </row>
    <row r="38" spans="2:9" ht="13.5" thickBot="1">
      <c r="B38" t="s">
        <v>131</v>
      </c>
      <c r="D38" s="75">
        <f>D31-SUM(D33:D36)</f>
        <v>33.6</v>
      </c>
      <c r="E38" s="73"/>
      <c r="F38" s="75">
        <f>F31-SUM(F33:F36)</f>
        <v>53.70000000000002</v>
      </c>
      <c r="I38" s="115"/>
    </row>
    <row r="39" spans="4:6" ht="13.5" thickTop="1">
      <c r="D39" s="74"/>
      <c r="E39" s="74"/>
      <c r="F39" s="74"/>
    </row>
    <row r="40" spans="4:6" ht="12.75">
      <c r="D40" s="32"/>
      <c r="E40" s="32"/>
      <c r="F40" s="32"/>
    </row>
    <row r="41" spans="2:7" ht="12.75">
      <c r="B41" s="5" t="s">
        <v>132</v>
      </c>
      <c r="C41" s="5"/>
      <c r="D41" s="34">
        <v>0.7</v>
      </c>
      <c r="E41" s="43"/>
      <c r="F41" s="34">
        <v>-2.9</v>
      </c>
      <c r="G41" s="5"/>
    </row>
    <row r="42" spans="2:6" ht="12.75">
      <c r="B42" s="5"/>
      <c r="D42" s="43"/>
      <c r="E42" s="43"/>
      <c r="F42" s="43"/>
    </row>
    <row r="43" spans="2:6" s="5" customFormat="1" ht="12.75">
      <c r="B43" s="5" t="s">
        <v>133</v>
      </c>
      <c r="D43" s="34">
        <v>-0.3</v>
      </c>
      <c r="E43" s="43"/>
      <c r="F43" s="34">
        <v>0.2</v>
      </c>
    </row>
    <row r="44" ht="12.75">
      <c r="E44" s="32"/>
    </row>
  </sheetData>
  <mergeCells count="2">
    <mergeCell ref="D5:F5"/>
    <mergeCell ref="D6:F6"/>
  </mergeCells>
  <printOptions/>
  <pageMargins left="0.75" right="0.75" top="1" bottom="1" header="0.5" footer="0.5"/>
  <pageSetup fitToHeight="1" fitToWidth="1" horizontalDpi="300" verticalDpi="3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Broadwing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 Financial Statements</dc:title>
  <dc:subject/>
  <dc:creator>Broadwing Corporate Accounting</dc:creator>
  <cp:keywords/>
  <dc:description/>
  <cp:lastModifiedBy>Tim Winn</cp:lastModifiedBy>
  <cp:lastPrinted>2004-11-02T18:03:16Z</cp:lastPrinted>
  <dcterms:created xsi:type="dcterms:W3CDTF">2001-04-16T15:19:29Z</dcterms:created>
  <dcterms:modified xsi:type="dcterms:W3CDTF">2004-11-03T13:11:18Z</dcterms:modified>
  <cp:category/>
  <cp:version/>
  <cp:contentType/>
  <cp:contentStatus/>
</cp:coreProperties>
</file>