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80" yWindow="1140" windowWidth="15480" windowHeight="11640" tabRatio="782" firstSheet="37" activeTab="37"/>
  </bookViews>
  <sheets>
    <sheet name="cover" sheetId="1" r:id="rId1"/>
    <sheet name="Contents" sheetId="2" r:id="rId2"/>
    <sheet name="Financial Highlights- IS" sheetId="3" r:id="rId3"/>
    <sheet name="Financial Highlights-BS" sheetId="4" r:id="rId4"/>
    <sheet name="Highlights-commentary" sheetId="5" r:id="rId5"/>
    <sheet name="Highlights-commentary (2)" sheetId="6" r:id="rId6"/>
    <sheet name="Highlights-commentary (3)" sheetId="7" r:id="rId7"/>
    <sheet name="title IS" sheetId="8" r:id="rId8"/>
    <sheet name="Inc Stmt Qtr 03" sheetId="9" r:id="rId9"/>
    <sheet name="Income Stmt YTD 02" sheetId="10" state="hidden" r:id="rId10"/>
    <sheet name="EPS" sheetId="11" r:id="rId11"/>
    <sheet name="Revised - Op inc" sheetId="12" state="hidden" r:id="rId12"/>
    <sheet name="Segment info. Q1.03" sheetId="13" r:id="rId13"/>
    <sheet name="Revised Qtrs 02- derivatives" sheetId="14" state="hidden" r:id="rId14"/>
    <sheet name="Revised Qtrs 01- derivatives" sheetId="15" state="hidden" r:id="rId15"/>
    <sheet name="Segment info. Q4.02" sheetId="16" r:id="rId16"/>
    <sheet name="Segment info. Q1.02" sheetId="17" r:id="rId17"/>
    <sheet name="Premium line of business Qtr" sheetId="18" r:id="rId18"/>
    <sheet name="Insurance Segment Qtr" sheetId="19" r:id="rId19"/>
    <sheet name="Reinsurance Segmant Qtr" sheetId="20" r:id="rId20"/>
    <sheet name="Reins - Life operations Qtr" sheetId="21" r:id="rId21"/>
    <sheet name="Financial products Qtr" sheetId="22" r:id="rId22"/>
    <sheet name="FP&amp;S - Life operations Qtr" sheetId="23" r:id="rId23"/>
    <sheet name="Segment info. YTD 03" sheetId="24" state="hidden" r:id="rId24"/>
    <sheet name="Segment info. YTD 01" sheetId="25" state="hidden" r:id="rId25"/>
    <sheet name="Premium line of business Ytd" sheetId="26" state="hidden" r:id="rId26"/>
    <sheet name="Insurance segment YTD" sheetId="27" r:id="rId27"/>
    <sheet name="Reinsurance YTD" sheetId="28" r:id="rId28"/>
    <sheet name="Reinsurance - Life YTD" sheetId="29" r:id="rId29"/>
    <sheet name="Finanial products YTD" sheetId="30" r:id="rId30"/>
    <sheet name="FP&amp;S - Life YTD" sheetId="31" r:id="rId31"/>
    <sheet name="Bal Sheet Title" sheetId="32" r:id="rId32"/>
    <sheet name="Bal Sheet" sheetId="33" r:id="rId33"/>
    <sheet name="Fixed Income Investments" sheetId="34" r:id="rId34"/>
    <sheet name="investment rec" sheetId="35" r:id="rId35"/>
    <sheet name="Investments - top 10" sheetId="36" r:id="rId36"/>
    <sheet name="benchmarks" sheetId="37" r:id="rId37"/>
    <sheet name="Inv aging" sheetId="38" r:id="rId38"/>
    <sheet name="Capital Structure" sheetId="39" r:id="rId39"/>
    <sheet name="Reinsurers" sheetId="40" r:id="rId40"/>
    <sheet name="Fin Guarantee title" sheetId="41" r:id="rId41"/>
    <sheet name="AGG Sectors" sheetId="42" r:id="rId42"/>
    <sheet name="CDO" sheetId="43" r:id="rId43"/>
    <sheet name="Loss Analysis Title" sheetId="44" r:id="rId44"/>
    <sheet name="Losses incurred" sheetId="45" r:id="rId45"/>
    <sheet name="Loss Reserves" sheetId="46" r:id="rId46"/>
    <sheet name="Sept 11 loss" sheetId="47" r:id="rId47"/>
  </sheets>
  <externalReferences>
    <externalReference r:id="rId50"/>
    <externalReference r:id="rId51"/>
    <externalReference r:id="rId52"/>
    <externalReference r:id="rId53"/>
    <externalReference r:id="rId54"/>
  </externalReferences>
  <definedNames>
    <definedName name="_BQ4.1" hidden="1">#REF!</definedName>
    <definedName name="_Order1" hidden="1">255</definedName>
    <definedName name="Duration">#REF!</definedName>
    <definedName name="IHLCC">#REF!</definedName>
    <definedName name="IHLEXP">#REF!</definedName>
    <definedName name="IHLFY">#REF!</definedName>
    <definedName name="IHLLY">#REF!</definedName>
    <definedName name="IHLPA">#REF!</definedName>
    <definedName name="IHLPL">#REF!</definedName>
    <definedName name="IHLPLA">#REF!</definedName>
    <definedName name="IHLRA">#REF!</definedName>
    <definedName name="IHLRC">#REF!</definedName>
    <definedName name="IHLRL">#REF!</definedName>
    <definedName name="IHLRLA">#REF!</definedName>
    <definedName name="IHLUC">#REF!</definedName>
    <definedName name="Iter_Results">#REF!</definedName>
    <definedName name="NewDuration">#REF!</definedName>
    <definedName name="NUSprofile">'[5]NONUSEQPERFDRIVERS'!$A$5:$C$55</definedName>
    <definedName name="Output">#REF!</definedName>
    <definedName name="_xlnm.Print_Area" localSheetId="32">'Bal Sheet'!$A$1:$K$51</definedName>
    <definedName name="_xlnm.Print_Area" localSheetId="36">'benchmarks'!$A$1:$I$38</definedName>
    <definedName name="_xlnm.Print_Area" localSheetId="1">'Contents'!$A$1:$N$52</definedName>
    <definedName name="_xlnm.Print_Area" localSheetId="10">'EPS'!$A$1:$L$48</definedName>
    <definedName name="_xlnm.Print_Area" localSheetId="2">'Financial Highlights- IS'!$A$1:$I$34</definedName>
    <definedName name="_xlnm.Print_Area" localSheetId="3">'Financial Highlights-BS'!$A$1:$K$39</definedName>
    <definedName name="_xlnm.Print_Area" localSheetId="21">'Financial products Qtr'!$A$1:$N$29</definedName>
    <definedName name="_xlnm.Print_Area" localSheetId="29">'Finanial products YTD'!$A$1:$M$38</definedName>
    <definedName name="_xlnm.Print_Area" localSheetId="33">'Fixed Income Investments'!$A$1:$H$34</definedName>
    <definedName name="_xlnm.Print_Area" localSheetId="22">'FP&amp;S - Life operations Qtr'!$A$1:$N$27</definedName>
    <definedName name="_xlnm.Print_Area" localSheetId="4">'Highlights-commentary'!$A$1:$B$28</definedName>
    <definedName name="_xlnm.Print_Area" localSheetId="5">'Highlights-commentary (2)'!$A$1:$B$29</definedName>
    <definedName name="_xlnm.Print_Area" localSheetId="6">'Highlights-commentary (3)'!$A$1:$B$11</definedName>
    <definedName name="_xlnm.Print_Area" localSheetId="8">'Inc Stmt Qtr 03'!$A$1:$K$44</definedName>
    <definedName name="_xlnm.Print_Area" localSheetId="18">'Insurance Segment Qtr'!$A$1:$N$65</definedName>
    <definedName name="_xlnm.Print_Area" localSheetId="26">'Insurance segment YTD'!$A$1:$M$65</definedName>
    <definedName name="_xlnm.Print_Area" localSheetId="35">'Investments - top 10'!$A$1:$D$25</definedName>
    <definedName name="_xlnm.Print_Area" localSheetId="45">'Loss Reserves'!$A$1:$H$40</definedName>
    <definedName name="_xlnm.Print_Area" localSheetId="44">'Losses incurred'!$A$1:$K$37</definedName>
    <definedName name="_xlnm.Print_Area" localSheetId="17">'Premium line of business Qtr'!$A$1:$H$30</definedName>
    <definedName name="_xlnm.Print_Area" localSheetId="25">'Premium line of business Ytd'!$A$1:$H$30</definedName>
    <definedName name="_xlnm.Print_Area" localSheetId="20">'Reins - Life operations Qtr'!$A$1:$N$28</definedName>
    <definedName name="_xlnm.Print_Area" localSheetId="19">'Reinsurance Segmant Qtr'!$A$1:$N$45</definedName>
    <definedName name="_xlnm.Print_Area" localSheetId="27">'Reinsurance YTD'!$A$1:$M$45</definedName>
    <definedName name="_xlnm.Print_Area" localSheetId="39">'Reinsurers'!$A$1:$D$37</definedName>
    <definedName name="_xlnm.Print_Area" localSheetId="11">'Revised - Op inc'!$A$1:$O$70</definedName>
    <definedName name="_xlnm.Print_Area" localSheetId="14">'Revised Qtrs 01- derivatives'!$A$1:$AO$71</definedName>
    <definedName name="_xlnm.Print_Area" localSheetId="13">'Revised Qtrs 02- derivatives'!$A$1:$AE$71</definedName>
    <definedName name="_xlnm.Print_Area" localSheetId="16">'Segment info. Q1.02'!$A$1:$K$56</definedName>
    <definedName name="_xlnm.Print_Area" localSheetId="12">'Segment info. Q1.03'!$A$1:$K$54</definedName>
    <definedName name="_xlnm.Print_Area" localSheetId="15">'Segment info. Q4.02'!$A$1:$K$54</definedName>
    <definedName name="_xlnm.Print_Area" localSheetId="24">'Segment info. YTD 01'!$A$1:$K$56</definedName>
    <definedName name="_xlnm.Print_Area" localSheetId="23">'Segment info. YTD 03'!$A$1:$K$55</definedName>
    <definedName name="quality">'[3]Quality Score'!$D$3:$E$26</definedName>
    <definedName name="Sample_Days">#REF!</definedName>
    <definedName name="samples">#REF!</definedName>
    <definedName name="Stored_Results">#REF!</definedName>
    <definedName name="USprofile">'[5]USEQPERFDRIVERS'!$A$5:$C$31</definedName>
    <definedName name="wrn.Total._.Report." localSheetId="5" hidden="1">{#N/A,#N/A,FALSE,"Attachment I";#N/A,#N/A,FALSE,"Portfolio reconciliation - 1";#N/A,#N/A,FALSE,"Overall Risk-2";#N/A,#N/A,FALSE,"Overall Scenario-3";#N/A,#N/A,FALSE,"Active Portfolio - 4";#N/A,#N/A,FALSE,"Active Risk-5";#N/A,#N/A,FALSE,"FI Segment - 6";#N/A,#N/A,FALSE,"EQ Segment - 7";#N/A,#N/A,FALSE,"Alt segment - 8";#N/A,#N/A,FALSE,"Deposits - 9";#N/A,#N/A,FALSE,"Strategic - 10";#N/A,#N/A,FALSE,"Structured - 11";#N/A,#N/A,FALSE,"Structured - 12"}</definedName>
    <definedName name="wrn.Total._.Report." localSheetId="6" hidden="1">{#N/A,#N/A,FALSE,"Attachment I";#N/A,#N/A,FALSE,"Portfolio reconciliation - 1";#N/A,#N/A,FALSE,"Overall Risk-2";#N/A,#N/A,FALSE,"Overall Scenario-3";#N/A,#N/A,FALSE,"Active Portfolio - 4";#N/A,#N/A,FALSE,"Active Risk-5";#N/A,#N/A,FALSE,"FI Segment - 6";#N/A,#N/A,FALSE,"EQ Segment - 7";#N/A,#N/A,FALSE,"Alt segment - 8";#N/A,#N/A,FALSE,"Deposits - 9";#N/A,#N/A,FALSE,"Strategic - 10";#N/A,#N/A,FALSE,"Structured - 11";#N/A,#N/A,FALSE,"Structured - 12"}</definedName>
    <definedName name="wrn.Total._.Report." localSheetId="34" hidden="1">{#N/A,#N/A,FALSE,"Attachment I";#N/A,#N/A,FALSE,"Portfolio reconciliation - 1";#N/A,#N/A,FALSE,"Overall Risk-2";#N/A,#N/A,FALSE,"Overall Scenario-3";#N/A,#N/A,FALSE,"Active Portfolio - 4";#N/A,#N/A,FALSE,"Active Risk-5";#N/A,#N/A,FALSE,"FI Segment - 6";#N/A,#N/A,FALSE,"EQ Segment - 7";#N/A,#N/A,FALSE,"Alt segment - 8";#N/A,#N/A,FALSE,"Deposits - 9";#N/A,#N/A,FALSE,"Strategic - 10";#N/A,#N/A,FALSE,"Structured - 11";#N/A,#N/A,FALSE,"Structured - 12"}</definedName>
    <definedName name="wrn.Total._.Report." hidden="1">{#N/A,#N/A,FALSE,"Attachment I";#N/A,#N/A,FALSE,"Portfolio reconciliation - 1";#N/A,#N/A,FALSE,"Overall Risk-2";#N/A,#N/A,FALSE,"Overall Scenario-3";#N/A,#N/A,FALSE,"Active Portfolio - 4";#N/A,#N/A,FALSE,"Active Risk-5";#N/A,#N/A,FALSE,"FI Segment - 6";#N/A,#N/A,FALSE,"EQ Segment - 7";#N/A,#N/A,FALSE,"Alt segment - 8";#N/A,#N/A,FALSE,"Deposits - 9";#N/A,#N/A,FALSE,"Strategic - 10";#N/A,#N/A,FALSE,"Structured - 11";#N/A,#N/A,FALSE,"Structured - 12"}</definedName>
  </definedNames>
  <calcPr fullCalcOnLoad="1"/>
</workbook>
</file>

<file path=xl/sharedStrings.xml><?xml version="1.0" encoding="utf-8"?>
<sst xmlns="http://schemas.openxmlformats.org/spreadsheetml/2006/main" count="1705" uniqueCount="605">
  <si>
    <t>This financial supplement may contain forward-looking statements which involve inherent risks and uncertainties.  Statements that are not historical facts, including statements about XL's beliefs, plans or expectations, are forward-looking statements.  These statements are based on current plans, estimates and expectations. Actual results may differ materially from those projected in such forward-looking statements and therefore you should not place undue reliance on them.  A non-exclusive list of other important factors that could cause actual results to differ materially from those in such forward-looking statements is set forth in XL's most recent annual report on Form 10-K, quarterly report on Form 10-Q and XL's other documents on file with the Securities and Exchange Commission.  XL undertakes no obligation to publicly update or revise any forward-looking statement, whether as a result of new information, future developments or otherwise.</t>
  </si>
  <si>
    <t>United States</t>
  </si>
  <si>
    <t>Net realized and unrealized gains (losses) on derivative instruments</t>
  </si>
  <si>
    <t xml:space="preserve">  operating and investment</t>
  </si>
  <si>
    <t>% of  Total</t>
  </si>
  <si>
    <t>JP MORGAN CHASE</t>
  </si>
  <si>
    <t>CITIGROUP</t>
  </si>
  <si>
    <t>GENERAL ELECTRIC</t>
  </si>
  <si>
    <t>CREDIT SUISSE GROUP</t>
  </si>
  <si>
    <t>DAIMLER CHRYSLER</t>
  </si>
  <si>
    <t>MORGAN STANLEY DEAN WITTER</t>
  </si>
  <si>
    <t>VERIZON</t>
  </si>
  <si>
    <t>31</t>
  </si>
  <si>
    <t xml:space="preserve"> </t>
  </si>
  <si>
    <t>Dividends paid on ordinary shares</t>
  </si>
  <si>
    <t>4.  Certain reclassifications have been made to prior period consolidated financial statement amounts to conform to current presentation.  There was no effect on net income from this change in presentation.</t>
  </si>
  <si>
    <t>1.  Certain reclassifications have been made to prior period consolidated financial statement amounts to conform to current presentation.  There was no effect on net income from this change in presentation.</t>
  </si>
  <si>
    <t>RECLASSIFIED</t>
  </si>
  <si>
    <t>RECLASSIFIED - QUARTER ENDED SEPTEMBER 30, 2002</t>
  </si>
  <si>
    <t>RECLASSIFIED - QUARTER ENDED JUNE 30, 2002</t>
  </si>
  <si>
    <t>RECLASSIFIED - QUARTER ENDED MARCH 31, 2002</t>
  </si>
  <si>
    <t>RECLASSIFIED - QUARTER ENDED DECEMBER 31, 2001</t>
  </si>
  <si>
    <t>RECLASSIFIED - QUARTER ENDED SEPTEMBER 30, 2001</t>
  </si>
  <si>
    <t>RECLASSIFIED - QUARTER ENDED JUNE 30, 2001</t>
  </si>
  <si>
    <t>RECLASSIFIED - QUARTER ENDED MARCH 31, 2001</t>
  </si>
  <si>
    <t>1. General operations were significantly affected by the September 11 event.  For further information, see the Company's Form 10-K for the year ended December 31, 2001, Insurance Segment information (p. 22) and Reinsurance Segment - General Operations information (p. 23).</t>
  </si>
  <si>
    <t>Net realized and unrealized (losses) gains on weather &amp; energy risk management derivatives</t>
  </si>
  <si>
    <t>March 31, 2003</t>
  </si>
  <si>
    <t>2.  Certain reclassifications have been made to prior period consolidated financial statement amounts to conform to current presentation.  There was no effect on net income from this change in presentation.</t>
  </si>
  <si>
    <t>(Note 2)</t>
  </si>
  <si>
    <t>FOR THE QUARTER ENDED MARCH 31, 2003</t>
  </si>
  <si>
    <t>FOR THE QUARTER ENDED MARCH 31, 2002</t>
  </si>
  <si>
    <t>% Change Q1 03</t>
  </si>
  <si>
    <t>vs. Q4 02</t>
  </si>
  <si>
    <t>vs. Q1 02</t>
  </si>
  <si>
    <t>MARCH 31, 2002</t>
  </si>
  <si>
    <t>Balance at March 31, 2003</t>
  </si>
  <si>
    <t>AS AT MARCH 31, 2003</t>
  </si>
  <si>
    <t>September 11, 2001 - March 31, 2003</t>
  </si>
  <si>
    <t>30</t>
  </si>
  <si>
    <t>26</t>
  </si>
  <si>
    <t>25</t>
  </si>
  <si>
    <t>10</t>
  </si>
  <si>
    <t>Cash flow provided (used) by operations</t>
  </si>
  <si>
    <t>AS AT DECEMBER 31, 2002</t>
  </si>
  <si>
    <t>Standard and</t>
  </si>
  <si>
    <t>% of Total</t>
  </si>
  <si>
    <t>Poor's Rating</t>
  </si>
  <si>
    <t>Swiss Re</t>
  </si>
  <si>
    <t>Lloyd's Syndicates</t>
  </si>
  <si>
    <t>Munich Re</t>
  </si>
  <si>
    <t>GE Frankona Ruckversicherungs</t>
  </si>
  <si>
    <t>Hannover Ruckversicherungs AG</t>
  </si>
  <si>
    <t>Centre Reinsurance International Company</t>
  </si>
  <si>
    <t>AA+</t>
  </si>
  <si>
    <t>AA-</t>
  </si>
  <si>
    <t>--</t>
  </si>
  <si>
    <t>A+</t>
  </si>
  <si>
    <t xml:space="preserve">1.  At December 31, 2002, approximately $1.8 billion of the total recoverable balance of $6.2 billion related to reinsurance recoverables for Winterthur International operations.  This balance, for which the recoverability is guaranteed under the Sale and Purchase Agreement, is not included in the analysis above.  </t>
  </si>
  <si>
    <t>2.  London Life and General Reinsurance Company is rated A by A.M. Best.</t>
  </si>
  <si>
    <t>32</t>
  </si>
  <si>
    <t>Future policy benefit reserves</t>
  </si>
  <si>
    <t xml:space="preserve">Deposit liabilities </t>
  </si>
  <si>
    <t xml:space="preserve">   instruments</t>
  </si>
  <si>
    <r>
      <t xml:space="preserve">Name of reinsurer </t>
    </r>
    <r>
      <rPr>
        <sz val="10"/>
        <rFont val="Optima"/>
        <family val="2"/>
      </rPr>
      <t>(Note 1)</t>
    </r>
  </si>
  <si>
    <t>Reinsurance balances receivable</t>
  </si>
  <si>
    <t>London Life and General Reinsurance Company Ltd. (Note 2)</t>
  </si>
  <si>
    <t>REVISED</t>
  </si>
  <si>
    <r>
      <t>"AA"</t>
    </r>
    <r>
      <rPr>
        <sz val="10"/>
        <rFont val="Optima"/>
        <family val="2"/>
      </rPr>
      <t xml:space="preserve"> : Very strong capacity to meet its financial commitments, "+" indicating the high end of the main rating and "-" indicating the lower end of the main rating.  AA is the second highest out of nine main ratings.</t>
    </r>
  </si>
  <si>
    <r>
      <t xml:space="preserve">"A" </t>
    </r>
    <r>
      <rPr>
        <sz val="10"/>
        <rFont val="Optima"/>
        <family val="2"/>
      </rPr>
      <t>: Strong capacity to meet its financial commitments, "+" indicating the high end of the main rating and "-" indicating the lower end of the main rating.  A is the third highest out of nine main ratings.</t>
    </r>
  </si>
  <si>
    <t>Total recoverable and reinsurance balances receivable (Note 3)</t>
  </si>
  <si>
    <t>3.  The Company is the beneficiary of letters of credit, trust accounts and funds withheld in the aggregate amount of $1.6 billion at December 31, 2002, collateralizing reinsurance recoverables with respect to certain reinsurers.</t>
  </si>
  <si>
    <t>8</t>
  </si>
  <si>
    <t>33</t>
  </si>
  <si>
    <t xml:space="preserve">General Operations - </t>
  </si>
  <si>
    <t xml:space="preserve">Life Operations - </t>
  </si>
  <si>
    <t>34</t>
  </si>
  <si>
    <t>CREDIT QUALITY - S&amp;P RATING</t>
  </si>
  <si>
    <t>BB and below</t>
  </si>
  <si>
    <t xml:space="preserve">CDO's </t>
  </si>
  <si>
    <t>NM</t>
  </si>
  <si>
    <t>Deposit liabilities</t>
  </si>
  <si>
    <t>Equity securities, at fair value (cost: $585,062, $661,377, $738,807, $715,702, $684,441)</t>
  </si>
  <si>
    <t xml:space="preserve">Short term investments, at fair value (amortized cost: $1,378,640, $1,001,179, $925,686, $891,485, $630,074) </t>
  </si>
  <si>
    <t>Fixed Maturities</t>
  </si>
  <si>
    <t>Equities</t>
  </si>
  <si>
    <t>Short-term Investments</t>
  </si>
  <si>
    <t>Cash &amp; Cash Equivalents</t>
  </si>
  <si>
    <t>Investments in Affiliates</t>
  </si>
  <si>
    <t>Other Investments</t>
  </si>
  <si>
    <t>Accrued Investment Income</t>
  </si>
  <si>
    <t>Net Receivable for Investments Sold</t>
  </si>
  <si>
    <t>-</t>
  </si>
  <si>
    <t>Net Payable for Investments Purchased</t>
  </si>
  <si>
    <t>TOTAL NET INVESTED ASSETS</t>
  </si>
  <si>
    <t>Total investments available for sale</t>
  </si>
  <si>
    <t>FORD MOTOR</t>
  </si>
  <si>
    <t>GENERAL MOTORS</t>
  </si>
  <si>
    <t>AMERICAN INTERNATIONAL GROUP</t>
  </si>
  <si>
    <t>24</t>
  </si>
  <si>
    <t>Investment Portfolio - Issuer Credit Exposure</t>
  </si>
  <si>
    <t>35</t>
  </si>
  <si>
    <t>Earnings Per Ordinary Share Data</t>
  </si>
  <si>
    <t xml:space="preserve">Net income available to ordinary </t>
  </si>
  <si>
    <t>Net income available to ordinary</t>
  </si>
  <si>
    <t>Issued and outstanding ordinary shares</t>
  </si>
  <si>
    <t xml:space="preserve">1.  Certain reclassifications have been made to prior period consolidated financial statememt amounts to conform to current presentation.  There was no effect on net income from this change in presentation. </t>
  </si>
  <si>
    <t>Underwriting profit</t>
  </si>
  <si>
    <t>XL Re America adjustment (Note 1)</t>
  </si>
  <si>
    <t>XL Re America loss (Note 2)</t>
  </si>
  <si>
    <t>1.  XL Re America adjustment related to a change in accounting for premium recognition to conform with other XL entities. There was no effect on net premium earned or underwriting profit.</t>
  </si>
  <si>
    <t>FIXED INCOME CREDIT QUALITY:</t>
  </si>
  <si>
    <t>FIXED INCOME SECTOR ALLOCATION:</t>
  </si>
  <si>
    <t>FIXED INCOME PORTFOLIO CHARACTERISTICS:</t>
  </si>
  <si>
    <t xml:space="preserve">Average duration </t>
  </si>
  <si>
    <t>Recoverable and Reinsurance Balances Receivable by Reinsurer</t>
  </si>
  <si>
    <t>The following is an analysis at December 31, 2002 of reinsurers owing more than 3% of the total recoverable and reinsurance balances receivable:</t>
  </si>
  <si>
    <t>- Insurance segment operating expense ratio declined from 15.1% to 11.1% primarily reflecting an overall increase in net premiums earned.</t>
  </si>
  <si>
    <t>- Reinsurance segment operating expense ratio increased from 4.5% to 6.2%.  The first quarter of 2002, included a pension curtailment of approximately $8.0 million which decreased prior quarter expenses.</t>
  </si>
  <si>
    <t>- Insurance segment declined 67% due to discontinued consulting services by Winterthur International for employee benefit plans.</t>
  </si>
  <si>
    <t>- Loss of $41m in the quarter is primarily a result of a writedown in the value of the Company's investment in Annuity and Life Re Holdings Limited to fair value.  The remaining carrying value of the investment is $2.2m.</t>
  </si>
  <si>
    <t>QTR 03 vs QTR 02</t>
  </si>
  <si>
    <r>
      <t xml:space="preserve">Financial Highlights - </t>
    </r>
    <r>
      <rPr>
        <sz val="11"/>
        <rFont val="Optima"/>
        <family val="2"/>
      </rPr>
      <t>Narrative</t>
    </r>
  </si>
  <si>
    <t>4</t>
  </si>
  <si>
    <t>Book value per ordinary share</t>
  </si>
  <si>
    <r>
      <t xml:space="preserve">Total ordinary shareholders' equity </t>
    </r>
    <r>
      <rPr>
        <sz val="10"/>
        <rFont val="Optima"/>
        <family val="2"/>
      </rPr>
      <t>(Note 1)</t>
    </r>
  </si>
  <si>
    <t>1.  Excludes preference share capital of $517.5 million for the quarters ended March 31, 2003 and December 31, 2002.  Excludes preference share capital of $230 million for the quarter ended September 30, 2002.</t>
  </si>
  <si>
    <t>Fixed maturities, at fair value (amortized cost: $14,900,926, $14,118,527, $13,427,404, $12,009,617, $11,752,123)</t>
  </si>
  <si>
    <r>
      <t xml:space="preserve">Per share data: </t>
    </r>
    <r>
      <rPr>
        <sz val="10"/>
        <rFont val="Optima"/>
        <family val="2"/>
      </rPr>
      <t>(Note 3)</t>
    </r>
  </si>
  <si>
    <t>Claims and policy benefits</t>
  </si>
  <si>
    <t>3.  The Financial Products &amp; Services segment had realized and unrealized gains on weather and energy derivatives of $16.6 million and losses on credit default swap derivatives of $46.1 million.  These figures are not included in underwriting profit.</t>
  </si>
  <si>
    <t xml:space="preserve">1.  Global risk represents general casualty and property insurance programs for large multinational companies.  </t>
  </si>
  <si>
    <t>1.  In the quarter ended December 31, 2002, the Company acquired a portfolio of future policy benefit reserves and cash of $41.5m in net premiums earned and claims and policy benefits.</t>
  </si>
  <si>
    <r>
      <t xml:space="preserve">Yield to maturity </t>
    </r>
    <r>
      <rPr>
        <sz val="10"/>
        <rFont val="Optima"/>
        <family val="2"/>
      </rPr>
      <t>(Note 2)</t>
    </r>
  </si>
  <si>
    <t xml:space="preserve">2.  Excludes operating cash balances of $0.9 billion and $1.3 billion respectively.  </t>
  </si>
  <si>
    <t>5.1 Years</t>
  </si>
  <si>
    <t>5.2 Years</t>
  </si>
  <si>
    <t>Summary Fixed Income Portfolio Information</t>
  </si>
  <si>
    <r>
      <t xml:space="preserve">ISSUER: </t>
    </r>
    <r>
      <rPr>
        <sz val="10"/>
        <rFont val="Optima"/>
        <family val="2"/>
      </rPr>
      <t>(Note 1)</t>
    </r>
  </si>
  <si>
    <t>1.  The investment performance benchmarks above represent 40% of the total portfolio.</t>
  </si>
  <si>
    <t>Amount of gross unrealized loss at March 31, 2003</t>
  </si>
  <si>
    <t>Amount of gross unrealized loss at December 31, 2002</t>
  </si>
  <si>
    <t>Ordinary shares - capital and surplus</t>
  </si>
  <si>
    <t>Preference shares - capital and surplus</t>
  </si>
  <si>
    <t>Total capital (total debt plus total capital)</t>
  </si>
  <si>
    <t xml:space="preserve">Debt to total capital </t>
  </si>
  <si>
    <t>MARCH 31, 2003</t>
  </si>
  <si>
    <r>
      <t xml:space="preserve">Net Premiums Written:  </t>
    </r>
    <r>
      <rPr>
        <b/>
        <i/>
        <sz val="10"/>
        <rFont val="Optima"/>
        <family val="2"/>
      </rPr>
      <t>PAGE 10</t>
    </r>
  </si>
  <si>
    <t>- Net premiums earned on general operations increased 42% from the prior year quarter. The increase was across all segments as follows - Insurance: 49%, Reinsurance: 31%, Financial Products and Services: 85%.</t>
  </si>
  <si>
    <t>- Combined loss ratio for general operations was 60.9% as compared to 63.2% in the prior year quarter driven by a decrease in Insurance segment from 63.5% to 59.2% which reflected favorable underwriting conditions and a low frequency of loss events.</t>
  </si>
  <si>
    <t xml:space="preserve">- Insurance segment acquisition expense ratio declined from 15.6% to 14.1% reflecting a change in the business mix to a higher level of casualty business which has a lower level of brokerage and commissions. </t>
  </si>
  <si>
    <t>- Net loss from life operations in the reinsurance segment of $4.9m include a GMDB adjustment on life business written by Le Mans Re of approximately $8.0m.</t>
  </si>
  <si>
    <t xml:space="preserve">- Reinsurance segment increased to $11.5m in the first quarter of 2003 due to an adjustment of $10m related to the recognition of revenue on a deposit liability contract. </t>
  </si>
  <si>
    <t>- Net realized losses on investments in the quarter of $4.7m included realized gains of $74m offset by $79m of other than temporary declines.</t>
  </si>
  <si>
    <t xml:space="preserve">- These include $0.8m related to stock option expensing for new options issued in March 2003.  </t>
  </si>
  <si>
    <t xml:space="preserve">- Increases from December 31, 2002 to March 31, 2003 due to the nature of the Company's business in which a significant portion incepts on January 1.  </t>
  </si>
  <si>
    <t>CDO Portfolio</t>
  </si>
  <si>
    <t>39</t>
  </si>
  <si>
    <t>Outstanding by Type</t>
  </si>
  <si>
    <t>Structured Credit</t>
  </si>
  <si>
    <t>Loans</t>
  </si>
  <si>
    <t>Bonds</t>
  </si>
  <si>
    <t>Form of Protection</t>
  </si>
  <si>
    <t>Insurance</t>
  </si>
  <si>
    <t>Credit Default Swap</t>
  </si>
  <si>
    <t>CREDIT QUALITY - S&amp;P</t>
  </si>
  <si>
    <r>
      <t xml:space="preserve">   - </t>
    </r>
    <r>
      <rPr>
        <sz val="11"/>
        <rFont val="Optima"/>
        <family val="2"/>
      </rPr>
      <t>Balance Sheets</t>
    </r>
  </si>
  <si>
    <r>
      <t xml:space="preserve">Financial Highlights - </t>
    </r>
    <r>
      <rPr>
        <sz val="11"/>
        <rFont val="Optima"/>
        <family val="2"/>
      </rPr>
      <t>Income Statements</t>
    </r>
  </si>
  <si>
    <t>3</t>
  </si>
  <si>
    <r>
      <t xml:space="preserve">Premiums by Line of Business:  </t>
    </r>
    <r>
      <rPr>
        <b/>
        <i/>
        <sz val="10"/>
        <rFont val="Optima"/>
        <family val="2"/>
      </rPr>
      <t>PAGE 13</t>
    </r>
  </si>
  <si>
    <t>- Quarter ended March 31, 2002 included an adjustment in XL Re America of $175m and in Insurance Specialty Lines of $100m for a change in accounting for premium recognition to conform with other XL entities.  There was no impact on net premium earned.</t>
  </si>
  <si>
    <t xml:space="preserve">- Excluding the adjustments above, net premiums written increased 32%.  Insurance segment increased 18% and reinsurance segment increased 45%.   </t>
  </si>
  <si>
    <t>- Net premiums earned for life operations increased 137% or $54m from the prior year quarter.</t>
  </si>
  <si>
    <t xml:space="preserve">3.  Diluted weighted average number of ordinary shares outstanding are used to calculate per share data except where there is a net loss.  When a net loss occurs, basic weighted average ordinary shares outstanding are utilized in the calculation of net loss per share and net operating loss per share.  </t>
  </si>
  <si>
    <t xml:space="preserve">- Paid to incurred ratio is 115.5% compared to 94.7% for the prior year quarter.  The increase reflects the timing of higher net payments relative to lower net incurred losses.  </t>
  </si>
  <si>
    <t>- Other insurance gross premiums written and net premiums written decreased significantly as a result of the adjustment of $100m in the first quarter of 2002 related to a change in accounting for premium recoginition to conform with other XL entities.</t>
  </si>
  <si>
    <t>- Other reinsurance gross and net premiums written increased significantly due primarily to the timing of the renewal of a large contract that was written in the first quarter of 2003 and in the second quarter of 2002.</t>
  </si>
  <si>
    <t>3.  The Financial Products &amp; Services segment had realized and unrealized gains on weather and energy derivatives of $10.4 million and losses on credit default swap derivatives of $0.6 million.  These figures are not included in underwriting loss.</t>
  </si>
  <si>
    <t>4.  The Financial Products &amp; Services segment had realized and unrealized losses on credit default swap derivatives of $1.4 million.  These figures are not included in underwriting loss.</t>
  </si>
  <si>
    <t>As At March 31, 2003</t>
  </si>
  <si>
    <t>As At December 31, 2002</t>
  </si>
  <si>
    <t>As At December 31, 2001</t>
  </si>
  <si>
    <t>As At</t>
  </si>
  <si>
    <t>The following highlights a number of significant items for the quarter ended March 31, 2003 and certain variances from prior periods:</t>
  </si>
  <si>
    <t>- Life net premiums written increased 163% over the prior year quarter related to new business written in the Financial Products and Services segment and an increase of 133% in the Reinsurance segment.</t>
  </si>
  <si>
    <t>1. In the quarter ended September 30, 2002,  the Company assumed a large portfolio of long duration annuity reserves of approximately $760 million.  This should be considered when making period to period comparisons.</t>
  </si>
  <si>
    <t>1. In the quarter ended September 30, 2002, the Company assumed a large portfolio of long duration annuity reserves of approximately $760 million.  This should be considered when making period to period comparisons.</t>
  </si>
  <si>
    <t>1.  See page 3 for the calculation of book value per ordinary share.</t>
  </si>
  <si>
    <t>1.  The above analysis excludes September 11 event losses incurred by the acquired Winterthur International operations, relating to business written prior to July 1, 2001.  These losses are recoverable under the net loss reserve seasoning mechanism in the Sale and Purchase Agreement with Winterthur Swiss Insurance Company as described in the Company's  10-K for the year ended December 31, 2002.</t>
  </si>
  <si>
    <t xml:space="preserve">2.  Net operating income is a non-GAAP measure.  As calculated by the Company, net operating income is net income available to ordinary shareholders, excluding net realized gains and losses on investments and net realized and unrealized gains and losses on all derivatives (except for gains and losses on weather risk management derivatives).  These items are excluded because they are not considered by management to be relevant indicators of the performance of or trends in the Company's core business operations, but rather of the investment and credit markets in general.  Management believes that the presentation of net operating income provides useful information regarding the Company's results of operations because it follows industry practice, is followed closely by securities analysts and rating agencies, and enables investors and securities analysts to make performance comparisons with the Company's peers in the insurance industry.  This measure may not however be comparable to similarly titled measures used by companies outside of the insurance industry.  Investors are cautioned not to place undue reliance on net operating income as a non-GAAP measure in assessing the Company's overall financial performance.  </t>
  </si>
  <si>
    <t>Net realized (losses) gains on investments</t>
  </si>
  <si>
    <t>Equity in net income (loss) of investment affiliates</t>
  </si>
  <si>
    <t>loss (income) of insurance and operating affiliates</t>
  </si>
  <si>
    <t>Net income (loss) before minority interest, income tax and equity in net</t>
  </si>
  <si>
    <t>Income tax expense (benefit)</t>
  </si>
  <si>
    <t xml:space="preserve">Net income (loss)  </t>
  </si>
  <si>
    <t>Net realized losses (gains) on investments</t>
  </si>
  <si>
    <t xml:space="preserve">   energy risk management derivatives</t>
  </si>
  <si>
    <t>Net realized and unrealized gains (losses) on weather and</t>
  </si>
  <si>
    <t xml:space="preserve">   realized and unrealized (gains) losses on derivative instruments</t>
  </si>
  <si>
    <t>Tax effect on net realized losses (gains) on investments and</t>
  </si>
  <si>
    <t>Net operating income (Note 2)</t>
  </si>
  <si>
    <t>Net income (loss) available to ordinary shareholders (Note 3)</t>
  </si>
  <si>
    <t>Equity in net income (loss) of insurance,</t>
  </si>
  <si>
    <t>(Note 4)</t>
  </si>
  <si>
    <r>
      <t xml:space="preserve">General operations </t>
    </r>
    <r>
      <rPr>
        <sz val="10"/>
        <rFont val="Optima"/>
        <family val="2"/>
      </rPr>
      <t>(Note 3)</t>
    </r>
    <r>
      <rPr>
        <b/>
        <sz val="11"/>
        <rFont val="Optima"/>
        <family val="2"/>
      </rPr>
      <t>:</t>
    </r>
  </si>
  <si>
    <t>5.  Specialty lines adjustment related to a change in accounting for premium recognition to comform with other XL entities.  There was no effect on net premium earned or underwriting profit.</t>
  </si>
  <si>
    <t>RATIOS excluding Sept 11</t>
  </si>
  <si>
    <t>Specialty lines adjustment (Note 5)</t>
  </si>
  <si>
    <t>3.  A significant portion of the Company's business incepts in the first quarter.  This should be considered when making certain comparisons of gross and net premiums written.</t>
  </si>
  <si>
    <t>Specialty lines adjustment (Note 4)</t>
  </si>
  <si>
    <t>3.  Certain reclassifications have been made to prior period consolidated financial statement amounts to conform to current presentation.  There was no effect on net income from this change in presentation.</t>
  </si>
  <si>
    <t>4.  Specialty lines adjustment related to a change in accounting for premium recognition to comform with other XL entities.  There was no effect on net premium earned or underwriting profit.</t>
  </si>
  <si>
    <t>Book value per ordinary share (Note 1)</t>
  </si>
  <si>
    <r>
      <t xml:space="preserve">Total </t>
    </r>
    <r>
      <rPr>
        <sz val="10"/>
        <rFont val="Optima"/>
        <family val="2"/>
      </rPr>
      <t>(Note 1)</t>
    </r>
  </si>
  <si>
    <t>1.  Total investments include fixed maturities, short term investments, cash and cash equivalents and net payable for investments purchased.</t>
  </si>
  <si>
    <t>Type of Securities</t>
  </si>
  <si>
    <t>Length of time in a continual unrealized loss position</t>
  </si>
  <si>
    <t>Fixed Income and Short-Term …….</t>
  </si>
  <si>
    <t>Less than six months</t>
  </si>
  <si>
    <t>$</t>
  </si>
  <si>
    <t>At least 6 months but less than 12 months</t>
  </si>
  <si>
    <t>At least 12 months but less than 2 years</t>
  </si>
  <si>
    <t>At least 2 years</t>
  </si>
  <si>
    <t>Equities………….</t>
  </si>
  <si>
    <t>- Combined underwriting expense ratio for general operations was 25.2% as compared to 28.9% in the prior year quarter.</t>
  </si>
  <si>
    <t xml:space="preserve">- Reinsurance segment acquistion expense ratio declined from 21.9% to 19.0% due to lower commissions.  </t>
  </si>
  <si>
    <t>- Insurance segment exchange loss of $7.7m related to the decline in the value of the Pound Sterling against the U.S. Dollar in the quarter.</t>
  </si>
  <si>
    <t>- Reinsurance segment exchange gain of $10.4m related primarily to the increase in the value of the Euro against the U.S. Dollar in the quarter.</t>
  </si>
  <si>
    <t>- Investment income related to general operations is flat compared to the prior year quarter.  Increases in cash flow were offset by declines in average yields on the portfolio.</t>
  </si>
  <si>
    <t>- Investment income for life operations increased to $35.3m from $15.5m due to growth in the business.</t>
  </si>
  <si>
    <t>- Interest expense comprises $24.1m of deposit liability accretion charges and $22m for debt interest.</t>
  </si>
  <si>
    <t xml:space="preserve">- AOCI increased from year end to $245.7m due primarily to an increase in net unrealized gains on investments.    </t>
  </si>
  <si>
    <t>9</t>
  </si>
  <si>
    <t>13</t>
  </si>
  <si>
    <t>14</t>
  </si>
  <si>
    <t>Investment Portfolio Analysis</t>
  </si>
  <si>
    <t>Investment Portfolio Aging Schedule</t>
  </si>
  <si>
    <t>36</t>
  </si>
  <si>
    <t>37</t>
  </si>
  <si>
    <t>38</t>
  </si>
  <si>
    <r>
      <t xml:space="preserve">Net Income from Life Operations: </t>
    </r>
    <r>
      <rPr>
        <b/>
        <i/>
        <sz val="10"/>
        <rFont val="Optima"/>
        <family val="2"/>
      </rPr>
      <t xml:space="preserve"> PAGE 10</t>
    </r>
  </si>
  <si>
    <r>
      <t xml:space="preserve">Fee Income and Other: </t>
    </r>
    <r>
      <rPr>
        <b/>
        <i/>
        <sz val="10"/>
        <rFont val="Optima"/>
        <family val="2"/>
      </rPr>
      <t xml:space="preserve"> PAGE 10</t>
    </r>
  </si>
  <si>
    <r>
      <t xml:space="preserve">Exchange Gains and Losses: </t>
    </r>
    <r>
      <rPr>
        <b/>
        <i/>
        <sz val="10"/>
        <rFont val="Optima"/>
        <family val="2"/>
      </rPr>
      <t xml:space="preserve"> PAGE 10</t>
    </r>
  </si>
  <si>
    <r>
      <t xml:space="preserve">Equity in Net Loss of Insurance and Operating Affiliates:  </t>
    </r>
    <r>
      <rPr>
        <b/>
        <i/>
        <sz val="10"/>
        <rFont val="Optima"/>
        <family val="2"/>
      </rPr>
      <t>PAGE 8</t>
    </r>
  </si>
  <si>
    <r>
      <t xml:space="preserve">Investment Income:  </t>
    </r>
    <r>
      <rPr>
        <b/>
        <i/>
        <sz val="10"/>
        <rFont val="Optima"/>
        <family val="2"/>
      </rPr>
      <t>PAGE 8</t>
    </r>
  </si>
  <si>
    <r>
      <t xml:space="preserve">Realized Gains and Losses on Investments:  </t>
    </r>
    <r>
      <rPr>
        <b/>
        <i/>
        <sz val="10"/>
        <rFont val="Optima"/>
        <family val="2"/>
      </rPr>
      <t>PAGE 8</t>
    </r>
  </si>
  <si>
    <r>
      <t xml:space="preserve">Interest Expense:  </t>
    </r>
    <r>
      <rPr>
        <b/>
        <i/>
        <sz val="10"/>
        <rFont val="Optima"/>
        <family val="2"/>
      </rPr>
      <t>PAGE 8</t>
    </r>
  </si>
  <si>
    <r>
      <t xml:space="preserve">Net Premiums Earned:  </t>
    </r>
    <r>
      <rPr>
        <b/>
        <i/>
        <sz val="10"/>
        <rFont val="Optima"/>
        <family val="2"/>
      </rPr>
      <t>PAGE 10</t>
    </r>
  </si>
  <si>
    <r>
      <t xml:space="preserve">Loss Ratio:  </t>
    </r>
    <r>
      <rPr>
        <b/>
        <i/>
        <sz val="10"/>
        <rFont val="Optima"/>
        <family val="2"/>
      </rPr>
      <t>PAGE 10</t>
    </r>
  </si>
  <si>
    <r>
      <t xml:space="preserve">Paid to Incurred Ratio:  </t>
    </r>
    <r>
      <rPr>
        <b/>
        <i/>
        <sz val="10"/>
        <rFont val="Optima"/>
        <family val="2"/>
      </rPr>
      <t>PAGE 36</t>
    </r>
  </si>
  <si>
    <r>
      <t xml:space="preserve">Underwriting Expense Ratio:  </t>
    </r>
    <r>
      <rPr>
        <b/>
        <i/>
        <sz val="10"/>
        <rFont val="Optima"/>
        <family val="2"/>
      </rPr>
      <t>PAGE 10</t>
    </r>
  </si>
  <si>
    <r>
      <t xml:space="preserve">Corporate Operating Expenses:  </t>
    </r>
    <r>
      <rPr>
        <b/>
        <i/>
        <sz val="10"/>
        <rFont val="Optima"/>
        <family val="2"/>
      </rPr>
      <t>PAGE 10</t>
    </r>
  </si>
  <si>
    <r>
      <t xml:space="preserve">Deferred Acquistion Costs, Unearned Premiums, Premiums Receivable, Prepaid Reinsurance Premiums:  </t>
    </r>
    <r>
      <rPr>
        <b/>
        <i/>
        <sz val="10"/>
        <rFont val="Optima"/>
        <family val="2"/>
      </rPr>
      <t>PAGE 25</t>
    </r>
  </si>
  <si>
    <r>
      <t xml:space="preserve">Accumulated Other Comprehensive Income:  </t>
    </r>
    <r>
      <rPr>
        <b/>
        <i/>
        <sz val="10"/>
        <rFont val="Optima"/>
        <family val="2"/>
      </rPr>
      <t>PAGE 25</t>
    </r>
  </si>
  <si>
    <t>3.  The calculation of ratios excluding the September 11 event are adjusted for the impact of September 11 event reinstatement premiums, where applicable.</t>
  </si>
  <si>
    <t>2.  XL Re America loss related to an increase in prior years casualty loss reserves in the quarter ended December 31, 2002.</t>
  </si>
  <si>
    <t xml:space="preserve">1.  Issuer includes parent and affiliated companies that issue fixed income securities.  In some cases, a portion of the market value may be invested in bonds that are securitized or have sufficient credit enhancement that provides a long term credit rating that is higher than the rating of the unsecured debt of the issuer. </t>
  </si>
  <si>
    <t>Year ended</t>
  </si>
  <si>
    <t>Asset/Liability Porfolios</t>
  </si>
  <si>
    <t>U.S. Investment Grade, Moderate Duration</t>
  </si>
  <si>
    <t>Lehman Aggreate Bond Index</t>
  </si>
  <si>
    <t>Relative Performance</t>
  </si>
  <si>
    <t>U.S. Investment Grade, Low Duration</t>
  </si>
  <si>
    <t>Saloman 1-3 Year Treasury Index</t>
  </si>
  <si>
    <t>Euro Aggregate, Unhedged</t>
  </si>
  <si>
    <t>Lehman Euro Aggregate Index</t>
  </si>
  <si>
    <t>Pan European, Hedged</t>
  </si>
  <si>
    <t>Merrill U.K./Merrill Pan Europe Composite</t>
  </si>
  <si>
    <t>U.K. Sterling, Unhedged</t>
  </si>
  <si>
    <t>Merrill U.K. Sterling Broad Index, 1-10 Years</t>
  </si>
  <si>
    <t>Risk Asset Portfolio - Fixed Income</t>
  </si>
  <si>
    <t>U.S. Moderate Grade</t>
  </si>
  <si>
    <t>Investment Grade / High Yield Composite</t>
  </si>
  <si>
    <t>U.S. High Yield</t>
  </si>
  <si>
    <t>CS First Boston High Yield Index</t>
  </si>
  <si>
    <t>Risk Asset Portfolios - Equities</t>
  </si>
  <si>
    <t>Risk Asset Portfolio - Alternative Investments</t>
  </si>
  <si>
    <t>U.S. Large Cap Growth Equity</t>
  </si>
  <si>
    <t>Russell 1000 Growth Index</t>
  </si>
  <si>
    <t>U.S. Large Cap Value Equity</t>
  </si>
  <si>
    <t>Russell 1000 Value Index</t>
  </si>
  <si>
    <t>U.S. Small Cap Equity</t>
  </si>
  <si>
    <t>Russell 2000 Index</t>
  </si>
  <si>
    <t>Non-U.S. Equity</t>
  </si>
  <si>
    <t>MSCI EAFE Index</t>
  </si>
  <si>
    <t>Alternative Investments</t>
  </si>
  <si>
    <t>Standard and Poor's 500 Index</t>
  </si>
  <si>
    <t>1.  Returns are time weighted and have been annualized for periods in excess of one year.  U.S. equity indices are shown net of withholding taxes.</t>
  </si>
  <si>
    <t>Investment Performance Benchmarks</t>
  </si>
  <si>
    <t>1. Other includes Canada, France, Germany. Korea, Chile, Australia, Japan, Portugal, El Salvador, Jamaica, Panama, Costa Rica, Qatar, New Zealand, Spain</t>
  </si>
  <si>
    <t>Other (Note 1)</t>
  </si>
  <si>
    <t>Equity in net loss (income) of insurance and operating affiliates</t>
  </si>
  <si>
    <t>Net realized and unrealized (gains) losses on derivative</t>
  </si>
  <si>
    <t>Net (loss) income from life operations</t>
  </si>
  <si>
    <t>Net realized and unrealized gains</t>
  </si>
  <si>
    <t>Equity in net (loss) income of insurance,</t>
  </si>
  <si>
    <t xml:space="preserve">3.  Net operating income is a non-GAAP measure.  Net operating income is net income available to ordinary shareholders, excluding net realized gains and losses on investments, net realized and unrealized gains and losses on all derivatives (but including gains and losses on weather and energy risk management derivatives).  These items are excluded because they are not considered by management to be relevant indicators of the trends in XL's business operations, but rather of the investment and credit markets in general.  Management believes that the presentation of net operating income (loss) provides useful information regarding XL's results of operations because it is an important performance indicator followed by securities analysts who cover the Company.  </t>
  </si>
  <si>
    <t>RELATING TO RECLASSIFIED PRESENTATION OF WEATHER AND ENERGY RISK MANAGEMENT DERIVATIVES AND CREDIT DEFAULT SWAP TRANSACTIONS</t>
  </si>
  <si>
    <t>RELATING TO RECLASSIFIED PRESENTATION OF WEATHER AND ENERGY RISK MANAGEMENT DERIVATIVES AND</t>
  </si>
  <si>
    <t>Consolidated Statements of Income - Quarter</t>
  </si>
  <si>
    <t>6 months ended</t>
  </si>
  <si>
    <t>3 months ended</t>
  </si>
  <si>
    <t>12 months ended</t>
  </si>
  <si>
    <t>9 months ended</t>
  </si>
  <si>
    <t>% Change</t>
  </si>
  <si>
    <t>Investment income</t>
  </si>
  <si>
    <t>Quarter ended</t>
  </si>
  <si>
    <t>Total debt</t>
  </si>
  <si>
    <t>LOSS ANALYSIS</t>
  </si>
  <si>
    <t>March 31, 2002</t>
  </si>
  <si>
    <t>AA</t>
  </si>
  <si>
    <t>A</t>
  </si>
  <si>
    <t>September 30, 2001</t>
  </si>
  <si>
    <t>March 31, 2001</t>
  </si>
  <si>
    <t>Notes:</t>
  </si>
  <si>
    <t>Unearned premiums</t>
  </si>
  <si>
    <t>Notes payable and debt</t>
  </si>
  <si>
    <t>Reinsurance balances payable</t>
  </si>
  <si>
    <t>Net payable for investments purchased</t>
  </si>
  <si>
    <t>Other liabilities</t>
  </si>
  <si>
    <t>Shareholders' equity</t>
  </si>
  <si>
    <t>Contributed surplus</t>
  </si>
  <si>
    <t>Deferred compensation</t>
  </si>
  <si>
    <t>Retained earnings</t>
  </si>
  <si>
    <t>Total liabilities</t>
  </si>
  <si>
    <t>FOR THE QUARTER ENDED</t>
  </si>
  <si>
    <t>GROSS</t>
  </si>
  <si>
    <t>RECOVERIES</t>
  </si>
  <si>
    <t>NET</t>
  </si>
  <si>
    <t>Paid</t>
  </si>
  <si>
    <t>Change in unpaid loss reserves</t>
  </si>
  <si>
    <t>Paid to</t>
  </si>
  <si>
    <t>incurred %</t>
  </si>
  <si>
    <t>Outstanding loss reserves</t>
  </si>
  <si>
    <t>Incurred but not reported reserves</t>
  </si>
  <si>
    <t>Net losses incurred</t>
  </si>
  <si>
    <t>Losses and loss expenses incurred</t>
  </si>
  <si>
    <t>Loss and loss expenses paid</t>
  </si>
  <si>
    <t>AAA</t>
  </si>
  <si>
    <t>BBB</t>
  </si>
  <si>
    <t xml:space="preserve">% of </t>
  </si>
  <si>
    <t>Underwriting profit (loss)</t>
  </si>
  <si>
    <t>Loss and loss expense ratio</t>
  </si>
  <si>
    <t>Acquisition expense ratio</t>
  </si>
  <si>
    <t>Operating expense ratio</t>
  </si>
  <si>
    <t>Combined ratio</t>
  </si>
  <si>
    <t>Notes :</t>
  </si>
  <si>
    <t>Gross Premium</t>
  </si>
  <si>
    <t>Written</t>
  </si>
  <si>
    <t>Earned</t>
  </si>
  <si>
    <t>Casualty insurance</t>
  </si>
  <si>
    <t>Casualty reinsurance</t>
  </si>
  <si>
    <t>Property catastrophe</t>
  </si>
  <si>
    <t>Other property</t>
  </si>
  <si>
    <t>Marine, energy, aviation and satellite</t>
  </si>
  <si>
    <t>Financial products and services</t>
  </si>
  <si>
    <t>Total</t>
  </si>
  <si>
    <t>Total general operations</t>
  </si>
  <si>
    <t>March 31,2002</t>
  </si>
  <si>
    <t>December 31, 2001</t>
  </si>
  <si>
    <t>Assets</t>
  </si>
  <si>
    <t>Cash and cash equivalents</t>
  </si>
  <si>
    <t>Investments in affiliates</t>
  </si>
  <si>
    <t>Other investments</t>
  </si>
  <si>
    <t>Total investments</t>
  </si>
  <si>
    <t>Accrued investment income</t>
  </si>
  <si>
    <t>Deferred acquisition costs</t>
  </si>
  <si>
    <t>Prepaid reinsurance premiums</t>
  </si>
  <si>
    <t>Premiums and reinsurance balances receivable</t>
  </si>
  <si>
    <t>Unpaid losses and loss expenses recoverable</t>
  </si>
  <si>
    <t>Goodwill and other intangible assets</t>
  </si>
  <si>
    <t>Deferred tax assets, net</t>
  </si>
  <si>
    <t>Other assets</t>
  </si>
  <si>
    <t>Liabilities</t>
  </si>
  <si>
    <t>Unpaid losses and loss expenses</t>
  </si>
  <si>
    <t>Net investment income - general operations</t>
  </si>
  <si>
    <t>Net investment income - life operations</t>
  </si>
  <si>
    <t>Equity in net income of investment affiliates</t>
  </si>
  <si>
    <t>Revenues</t>
  </si>
  <si>
    <t>Expenses</t>
  </si>
  <si>
    <t>Net losses and loss expenses incurred - general operations</t>
  </si>
  <si>
    <t>Claims and policy benefit reserves - life operations</t>
  </si>
  <si>
    <t>Interest expense</t>
  </si>
  <si>
    <t>Amortization of intangible assets</t>
  </si>
  <si>
    <t>Minority interest</t>
  </si>
  <si>
    <t>Net income</t>
  </si>
  <si>
    <t>INSURANCE</t>
  </si>
  <si>
    <t>REINSURANCE</t>
  </si>
  <si>
    <t xml:space="preserve">TOTAL </t>
  </si>
  <si>
    <t>INSURANCE &amp;</t>
  </si>
  <si>
    <t>FINANCIAL</t>
  </si>
  <si>
    <t>PRODUCTS &amp;</t>
  </si>
  <si>
    <t>SERVICES</t>
  </si>
  <si>
    <t>TOTAL</t>
  </si>
  <si>
    <t>Fee income and other</t>
  </si>
  <si>
    <t>Net losses and loss expenses</t>
  </si>
  <si>
    <t>Acquisition costs</t>
  </si>
  <si>
    <t>Operating expenses</t>
  </si>
  <si>
    <t>Underwriting (loss) profit</t>
  </si>
  <si>
    <t>Claims and policy benefit reserves</t>
  </si>
  <si>
    <t>Net investment income</t>
  </si>
  <si>
    <t>June 30, 2002</t>
  </si>
  <si>
    <t>June 30, 2001</t>
  </si>
  <si>
    <t>Gross premium written</t>
  </si>
  <si>
    <t>Net premium written</t>
  </si>
  <si>
    <t>Net premium earned</t>
  </si>
  <si>
    <t>Per share results :</t>
  </si>
  <si>
    <t>Basic</t>
  </si>
  <si>
    <t>Average credit quality</t>
  </si>
  <si>
    <t>6</t>
  </si>
  <si>
    <t>INCOME STATEMENTS</t>
  </si>
  <si>
    <t>BALANCE SHEETS</t>
  </si>
  <si>
    <t>PAGE</t>
  </si>
  <si>
    <t>Consolidated Balance Sheets</t>
  </si>
  <si>
    <t>Total assets</t>
  </si>
  <si>
    <t>Net loss</t>
  </si>
  <si>
    <t>Net income from life operations</t>
  </si>
  <si>
    <t>Life operations:</t>
  </si>
  <si>
    <t>General operations:</t>
  </si>
  <si>
    <t>N/A</t>
  </si>
  <si>
    <t>The September 11 Event</t>
  </si>
  <si>
    <t xml:space="preserve">                  Total assets</t>
  </si>
  <si>
    <t xml:space="preserve">                  Total liabilities</t>
  </si>
  <si>
    <t xml:space="preserve">                 Total shareholders' equity</t>
  </si>
  <si>
    <t xml:space="preserve">                 Total liabilities and shareholders' equity</t>
  </si>
  <si>
    <t xml:space="preserve">                   Total investments</t>
  </si>
  <si>
    <t xml:space="preserve">                   Total investments available for sale</t>
  </si>
  <si>
    <t>U.S. Government</t>
  </si>
  <si>
    <t>U.S. Corporate</t>
  </si>
  <si>
    <t>Mortgage - backed</t>
  </si>
  <si>
    <t>Asset backed securities</t>
  </si>
  <si>
    <t>Non - U.S. other</t>
  </si>
  <si>
    <t>Market value at</t>
  </si>
  <si>
    <t>Total shareholders' equity</t>
  </si>
  <si>
    <t>Net premium earned - general operations</t>
  </si>
  <si>
    <t>Net premium earned - life operations</t>
  </si>
  <si>
    <r>
      <t xml:space="preserve">                    </t>
    </r>
    <r>
      <rPr>
        <b/>
        <sz val="10"/>
        <rFont val="Optima"/>
        <family val="2"/>
      </rPr>
      <t>Total revenues</t>
    </r>
  </si>
  <si>
    <r>
      <t xml:space="preserve">                    </t>
    </r>
    <r>
      <rPr>
        <b/>
        <sz val="10"/>
        <rFont val="Optima"/>
        <family val="2"/>
      </rPr>
      <t>Total expenses</t>
    </r>
  </si>
  <si>
    <t>of insurance and operating affiliates</t>
  </si>
  <si>
    <t>Non - U.S. G 10</t>
  </si>
  <si>
    <t>Incurred losses</t>
  </si>
  <si>
    <t>Unpaid loss and loss expense reserves</t>
  </si>
  <si>
    <t xml:space="preserve">Segment Information </t>
  </si>
  <si>
    <t xml:space="preserve">Premiums By Line of Business </t>
  </si>
  <si>
    <t>Segment Consecutive Quarters</t>
  </si>
  <si>
    <t>Loss Analysis</t>
  </si>
  <si>
    <t>Supplementary Capital Information</t>
  </si>
  <si>
    <t>2</t>
  </si>
  <si>
    <t>27</t>
  </si>
  <si>
    <t>Analysis of Losses and Loss Expenses Incurred</t>
  </si>
  <si>
    <t>28</t>
  </si>
  <si>
    <t>Gross incurred losses</t>
  </si>
  <si>
    <t>Net incurred losses</t>
  </si>
  <si>
    <t>Gross paid losses</t>
  </si>
  <si>
    <t>Net paid losses</t>
  </si>
  <si>
    <t>% Gross Paid</t>
  </si>
  <si>
    <t>% Net Paid</t>
  </si>
  <si>
    <t>Balance Sheets</t>
  </si>
  <si>
    <t>Income Statements</t>
  </si>
  <si>
    <t>Exchange (gains) and losses</t>
  </si>
  <si>
    <t>Analysis of Unpaid Losses and Loss Expenses</t>
  </si>
  <si>
    <t>Ratios:</t>
  </si>
  <si>
    <t xml:space="preserve">  on investments and derivative</t>
  </si>
  <si>
    <t xml:space="preserve">  instruments</t>
  </si>
  <si>
    <t>Net realized and unrealized losses</t>
  </si>
  <si>
    <t>Equity in net income of insurance,</t>
  </si>
  <si>
    <t xml:space="preserve">  affiliates</t>
  </si>
  <si>
    <t>Exchange gains</t>
  </si>
  <si>
    <t>Exchange (gains) losses</t>
  </si>
  <si>
    <t>BB &amp; below</t>
  </si>
  <si>
    <t>Reinsurance recoveries</t>
  </si>
  <si>
    <t>Foreign exchange revaluation and other</t>
  </si>
  <si>
    <t>Commitment</t>
  </si>
  <si>
    <t>In Use</t>
  </si>
  <si>
    <t>Debt</t>
  </si>
  <si>
    <t>364-day revolving credit facility</t>
  </si>
  <si>
    <t>7.15% Senior Notes</t>
  </si>
  <si>
    <t>6.58% Guaranteed Senior Notes</t>
  </si>
  <si>
    <t>6.50% Guaranteed Senior Notes</t>
  </si>
  <si>
    <t>7</t>
  </si>
  <si>
    <t>29</t>
  </si>
  <si>
    <t>Interest, taxes and other</t>
  </si>
  <si>
    <t>Underwriting expense ratio</t>
  </si>
  <si>
    <t>Net realized losses on investments</t>
  </si>
  <si>
    <t>Exchange losses</t>
  </si>
  <si>
    <t>General operations</t>
  </si>
  <si>
    <t xml:space="preserve">Exchange losses </t>
  </si>
  <si>
    <t>Segment Consecutive Cumulative Quarters</t>
  </si>
  <si>
    <t>Liquid Yield Option Notes (LYONS)</t>
  </si>
  <si>
    <t>Zero Coupon Convertible Debentures (CARZ)</t>
  </si>
  <si>
    <t>Add back (deduct):</t>
  </si>
  <si>
    <t>Cautionary Note Regarding Forward-Looking Statements</t>
  </si>
  <si>
    <t>Specialty lines</t>
  </si>
  <si>
    <t>Underwriting expense ratio (Note 2)</t>
  </si>
  <si>
    <t>Specialty lines (Note 2)</t>
  </si>
  <si>
    <t>(Note 1)</t>
  </si>
  <si>
    <t>RATIOS including Sept 11</t>
  </si>
  <si>
    <t>RATIOS excluding Sept 11 (Note 3)</t>
  </si>
  <si>
    <t>GENERAL OPERATIONS</t>
  </si>
  <si>
    <t>September 30, 2002</t>
  </si>
  <si>
    <t>Net realized and unrealized losses on derivative instruments</t>
  </si>
  <si>
    <t>Preference shares</t>
  </si>
  <si>
    <t>Net income (loss) available to ordinary shareholders</t>
  </si>
  <si>
    <t>Net income (loss) before minority interest, income tax and equity in net loss</t>
  </si>
  <si>
    <t>Income tax</t>
  </si>
  <si>
    <t>Equity in net loss of insurance and operating affiliates</t>
  </si>
  <si>
    <t>Net income (loss)</t>
  </si>
  <si>
    <t>Preference share dividends</t>
  </si>
  <si>
    <t>Net operating income (loss)</t>
  </si>
  <si>
    <t>Operating expenses (Note 2)</t>
  </si>
  <si>
    <t>Net loss from life operations</t>
  </si>
  <si>
    <r>
      <t xml:space="preserve">Ratios - general operations: </t>
    </r>
    <r>
      <rPr>
        <sz val="10"/>
        <rFont val="Optima"/>
        <family val="2"/>
      </rPr>
      <t>(Note 3)</t>
    </r>
  </si>
  <si>
    <t>Life operations</t>
  </si>
  <si>
    <t>Net Premium</t>
  </si>
  <si>
    <t>Other</t>
  </si>
  <si>
    <t>2.  Specialty lines represents specialized commercial insurance products including areospace, satellite, marine, environmental and professional liability insurance.  This includes the Company's Lloyd's syndicates.</t>
  </si>
  <si>
    <t>Quarterly Data:</t>
  </si>
  <si>
    <t>Year to Date Data:</t>
  </si>
  <si>
    <t>The September 11 Event: Analysis of Paid to Incurred Losses</t>
  </si>
  <si>
    <t>shareholders</t>
  </si>
  <si>
    <t>Weighted average ordinary shares outstanding:</t>
  </si>
  <si>
    <t>Per share data:</t>
  </si>
  <si>
    <t>1.  Net realized losses on investments and net realized and unrealized losses on derivative instruments are net of tax.</t>
  </si>
  <si>
    <t>Operating expenses (Note 1)</t>
  </si>
  <si>
    <t>Corporate operating expenses (Note 1)</t>
  </si>
  <si>
    <t>1.  Operating expenses exclude corporate operating expenses, shown separately.</t>
  </si>
  <si>
    <r>
      <t xml:space="preserve">Ratios - general operations: </t>
    </r>
    <r>
      <rPr>
        <sz val="10"/>
        <rFont val="Optima"/>
        <family val="2"/>
      </rPr>
      <t>(Note 2)</t>
    </r>
  </si>
  <si>
    <t>Corporate operating expenses (Note 2)</t>
  </si>
  <si>
    <t>Underwriting expense ratio (Note 3)</t>
  </si>
  <si>
    <t>2.  Operating expenses exclude corporate operating expenses, shown separately.  Corporate operating expenses include $14.0 million related to costs incurred related to the integration of the acquired Wintherthur International operations.</t>
  </si>
  <si>
    <t xml:space="preserve">Accident and health </t>
  </si>
  <si>
    <t>General reinsurance</t>
  </si>
  <si>
    <t>Net losses and loss expenses (Note 1)</t>
  </si>
  <si>
    <t>1.  Net losses and loss expenses include an increase to loss reserves in the second quarter of 2002 of $73.0 million and $127.0 million in the insurance and reinsurance segments, respectively, related to the September 11 event.</t>
  </si>
  <si>
    <t>2.  Operating expenses exclude corporate operating expenses, shown separately.</t>
  </si>
  <si>
    <t>2. Specialty lines represent specialized commercial insurance products including aerospace, satellite, marine, environmental and professional liability insurance.  This includes the Company's Lloyd's syndicates.</t>
  </si>
  <si>
    <t>As at</t>
  </si>
  <si>
    <t>Class A ordinary shares outstanding</t>
  </si>
  <si>
    <t>Incurred:</t>
  </si>
  <si>
    <t>Paid:</t>
  </si>
  <si>
    <t>Cash flow provided by operations</t>
  </si>
  <si>
    <t>3.  Ratios are calculated for general insurance and reinsurance operations, excluding fee income and other. The underwriting expense ratio excludes exchange gains and losses.</t>
  </si>
  <si>
    <t>2.  Ratios are calculated for general insurance and reinsurance operations, excluding fee income and other. The underwriting expense ratio excludes exchange gains and losses.</t>
  </si>
  <si>
    <t>Diluted</t>
  </si>
  <si>
    <t>DECEMBER 31, 2002</t>
  </si>
  <si>
    <t>Consolidated Statements of Income - Twelve Months</t>
  </si>
  <si>
    <t>December 31, 2002</t>
  </si>
  <si>
    <t>Twelve months ended</t>
  </si>
  <si>
    <t>FOR THE TWELVE MONTHS ENDED DECEMBER 31, 2002</t>
  </si>
  <si>
    <t>FOR THE TWELVE MONTHS ENDED DECEMBER 31, 2001</t>
  </si>
  <si>
    <t>DECEMBER 31, 2001</t>
  </si>
  <si>
    <t>FOR THE TWELVE MONTHS ENDED</t>
  </si>
  <si>
    <t>Balance at December 31, 2002</t>
  </si>
  <si>
    <t>Net Par Outstanding</t>
  </si>
  <si>
    <t xml:space="preserve">Total </t>
  </si>
  <si>
    <t>GEOGRAPHIC</t>
  </si>
  <si>
    <t>SECTOR ALLOCATION</t>
  </si>
  <si>
    <t>Consumer Assets</t>
  </si>
  <si>
    <t>Public Finance</t>
  </si>
  <si>
    <t>Other Single Risk</t>
  </si>
  <si>
    <t>Other Structured Finance</t>
  </si>
  <si>
    <t>Commercial Assets</t>
  </si>
  <si>
    <t>XL Financial Guarantee Aggregate Insured Portfolios</t>
  </si>
  <si>
    <t>Net realized (gains) losses on investments (Note 1)</t>
  </si>
  <si>
    <t>Net income (loss) available to ordinary shareholders (Note 2)</t>
  </si>
  <si>
    <t>2.  Average stock options outstanding are excluded where anti-dilutive to earnings per share. Consequently, where there is a net loss, basic ordinary shares outstanding are utilized in the calculation of  net loss per share and net operating income per share.</t>
  </si>
  <si>
    <t>SUPPLEMENTARY FINANCIAL GUARANTEE INFORMATION</t>
  </si>
  <si>
    <t>Net realized (gains) losses on investments</t>
  </si>
  <si>
    <t>Exchange losses (gains)</t>
  </si>
  <si>
    <t>Class A ordinary shares</t>
  </si>
  <si>
    <t>Accumulated other comprehensive income (loss)</t>
  </si>
  <si>
    <t>United Kingdom</t>
  </si>
  <si>
    <t>Brazil</t>
  </si>
  <si>
    <t>Mexico</t>
  </si>
  <si>
    <t>International</t>
  </si>
  <si>
    <t>Supplementary Financial Guarantee Information</t>
  </si>
  <si>
    <t>PREVIOUSLY REPORTED - QUARTER ENDED SEPTEMBER 30, 2002</t>
  </si>
  <si>
    <t>PREVIOUSLY REPORTED - QUARTER ENDED JUNE 30, 2002</t>
  </si>
  <si>
    <t>PREVIOUSLY REPORTED - QUARTER ENDED MARCH 31, 2002</t>
  </si>
  <si>
    <t>PREVIOUSLY REPORTED - QUARTER ENDED DECEMBER 31, 2001</t>
  </si>
  <si>
    <t>PREVIOUSLY REPORTED - QUARTER ENDED MARCH 31, 2001</t>
  </si>
  <si>
    <t>PREVIOUSLY REPORTED - QUARTER ENDED JUNE 30, 2001</t>
  </si>
  <si>
    <t>PREVIOUSLY REPORTED - QUARTER ENDED SEPTEMBER 30, 2001</t>
  </si>
  <si>
    <t>Ratios - general operations:</t>
  </si>
  <si>
    <t>21</t>
  </si>
  <si>
    <t>LLOYD'S INCLUDED IN LINE OF BUSINESS SPLIT</t>
  </si>
  <si>
    <t>3.  Certain reclassifications have been made to prior year consolidated financial statement amounts to conform to current year presentation.  There was no effect on net income from this change in presentation.</t>
  </si>
  <si>
    <t>(Note 3)</t>
  </si>
  <si>
    <t>General operations (Note 4):</t>
  </si>
  <si>
    <t>General operations (Note 1,4):</t>
  </si>
  <si>
    <t>Preference share dividend</t>
  </si>
  <si>
    <t xml:space="preserve">1.  Operating expenses exclude corporate operating expenses, shown separately. </t>
  </si>
  <si>
    <t>Other reinsurance (Note 1)</t>
  </si>
  <si>
    <t>Other insurance (Note 1)</t>
  </si>
  <si>
    <t>1.  Other insurance and reinsurance premiums written and earned include political risk, surety, bonding, warranty and other lines.</t>
  </si>
  <si>
    <t>2.  Certain reclassifications have been made to prior year consolidated financial statement amounts to conform to current year presentation.  There was no effect on net income from this change in presentation.</t>
  </si>
  <si>
    <t>Net realized and unrealized losses (gains) on derivative instruments (Note 1)</t>
  </si>
  <si>
    <t>One time charges</t>
  </si>
  <si>
    <t>PREVIOUSLY REPORTED</t>
  </si>
  <si>
    <t>19</t>
  </si>
  <si>
    <t>Global risk</t>
  </si>
  <si>
    <t>Global risk (Note 1)</t>
  </si>
  <si>
    <t>CREDIT DEFAULT SWAP TRANSACTIONS</t>
  </si>
  <si>
    <t>Fixed Income</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</si>
</sst>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0.0_);\(#,##0.0\)"/>
    <numFmt numFmtId="166" formatCode="_(* #,##0.0_);_(* \(#,##0.0\);_(* &quot;-&quot;??_);_(@_)"/>
    <numFmt numFmtId="167" formatCode="_(* #,##0_);_(* \(#,##0\);_(* &quot;-&quot;??_);_(@_)"/>
    <numFmt numFmtId="168" formatCode="_(&quot;$&quot;* #,##0_);_(&quot;$&quot;* \(#,##0\);_(&quot;$&quot;* &quot;-&quot;??_);_(@_)"/>
    <numFmt numFmtId="169" formatCode="0.0%"/>
    <numFmt numFmtId="170" formatCode="0_);\(0\)"/>
    <numFmt numFmtId="171" formatCode="0.0"/>
    <numFmt numFmtId="172" formatCode="0.000"/>
    <numFmt numFmtId="173" formatCode="0.00000000"/>
    <numFmt numFmtId="174" formatCode="0.0000000"/>
    <numFmt numFmtId="175" formatCode="0.000000"/>
    <numFmt numFmtId="176" formatCode="0.00000"/>
    <numFmt numFmtId="177" formatCode="0.0000"/>
    <numFmt numFmtId="178" formatCode="0.000%"/>
    <numFmt numFmtId="179" formatCode="0.0000%"/>
    <numFmt numFmtId="180" formatCode="0.00000%"/>
    <numFmt numFmtId="181" formatCode="0.000000%"/>
    <numFmt numFmtId="182" formatCode="0.00000000000%"/>
    <numFmt numFmtId="183" formatCode="0.000000000000000000%"/>
    <numFmt numFmtId="184" formatCode="0.00000000%"/>
    <numFmt numFmtId="185" formatCode="_(* #,##0.00000000_);_(* \(#,##0.00000000\);_(* &quot;-&quot;????????_);_(@_)"/>
    <numFmt numFmtId="186" formatCode="_(* #,##0.0_);_(* \(#,##0.0\);_(* &quot;-&quot;?_);_(@_)"/>
    <numFmt numFmtId="187" formatCode="0.0_);[Red]\(0.0\)"/>
    <numFmt numFmtId="188" formatCode="[$-409]dddd\,\ mmmm\ dd\,\ yyyy"/>
    <numFmt numFmtId="189" formatCode="_(* #,##0.000_);_(* \(#,##0.000\);_(* &quot;-&quot;???_);_(@_)"/>
    <numFmt numFmtId="190" formatCode="0.0000000%"/>
    <numFmt numFmtId="191" formatCode="_(&quot;$&quot;* #,##0.000_);_(&quot;$&quot;* \(#,##0.000\);_(&quot;$&quot;* &quot;-&quot;???_);_(@_)"/>
    <numFmt numFmtId="192" formatCode="mmmm\ d\,\ yyyy"/>
    <numFmt numFmtId="193" formatCode="mm/dd/yy"/>
    <numFmt numFmtId="194" formatCode="_-* #,##0_-;\-* #,##0_-;_-* &quot;-&quot;??_-;_-@_-"/>
    <numFmt numFmtId="195" formatCode="&quot;$&quot;#,##0"/>
    <numFmt numFmtId="196" formatCode="_(&quot;$&quot;* #,##0.000_);_(&quot;$&quot;* \(#,##0.000\);_(&quot;$&quot;* &quot;-&quot;??_);_(@_)"/>
    <numFmt numFmtId="197" formatCode="_(&quot;$&quot;* #,##0.0000_);_(&quot;$&quot;* \(#,##0.0000\);_(&quot;$&quot;* &quot;-&quot;??_);_(@_)"/>
    <numFmt numFmtId="198" formatCode="[$-409]d\-mmm\-yy;@"/>
    <numFmt numFmtId="199" formatCode="_-&quot;£&quot;* #,##0.00_-;\-&quot;£&quot;* #,##0.00_-;_-&quot;£&quot;* &quot;-&quot;??_-;_-@_-"/>
    <numFmt numFmtId="200" formatCode="0.000000000000000%"/>
    <numFmt numFmtId="201" formatCode="#,##0.0,,_ ;_(&quot;-&quot;\)\ \ \ "/>
    <numFmt numFmtId="202" formatCode="0.0000000000000000%"/>
    <numFmt numFmtId="203" formatCode="_(* #,##0.000_);_(* \(#,##0.000\);_(* &quot;-&quot;??_);_(@_)"/>
    <numFmt numFmtId="204" formatCode="_(* #,##0.0000_);_(* \(#,##0.0000\);_(* &quot;-&quot;??_);_(@_)"/>
    <numFmt numFmtId="205" formatCode="_(* #,##0.0000_);_(* \(#,##0.0000\);_(* &quot;-&quot;????_);_(@_)"/>
    <numFmt numFmtId="206" formatCode="[$-409]h:mm:ss\ AM/PM"/>
    <numFmt numFmtId="207" formatCode="0.000_)"/>
    <numFmt numFmtId="208" formatCode="#,##0.00000000_);\(#,##0.00000000\)"/>
    <numFmt numFmtId="209" formatCode="#,##0.00000"/>
    <numFmt numFmtId="210" formatCode="[$-409]mmmm\ d\,\ yyyy;@"/>
    <numFmt numFmtId="211" formatCode="_(* #,##0.00000_);_(* \(#,##0.00000\);_(* &quot;-&quot;??_);_(@_)"/>
    <numFmt numFmtId="212" formatCode="_(* #,##0.000000_);_(* \(#,##0.000000\);_(* &quot;-&quot;??_);_(@_)"/>
    <numFmt numFmtId="213" formatCode="#,##0.000_);\(#,##0.000\)"/>
    <numFmt numFmtId="214" formatCode="#,##0.0000_);\(#,##0.0000\)"/>
  </numFmts>
  <fonts count="36">
    <font>
      <sz val="10"/>
      <name val="Arial"/>
      <family val="0"/>
    </font>
    <font>
      <sz val="10"/>
      <name val="Optima"/>
      <family val="2"/>
    </font>
    <font>
      <sz val="11"/>
      <name val="Optima"/>
      <family val="2"/>
    </font>
    <font>
      <b/>
      <sz val="12"/>
      <name val="Optima"/>
      <family val="2"/>
    </font>
    <font>
      <sz val="12"/>
      <name val="Optima"/>
      <family val="2"/>
    </font>
    <font>
      <b/>
      <sz val="11"/>
      <name val="Optima"/>
      <family val="2"/>
    </font>
    <font>
      <b/>
      <sz val="10"/>
      <name val="Optima"/>
      <family val="2"/>
    </font>
    <font>
      <u val="single"/>
      <sz val="11"/>
      <name val="Optima"/>
      <family val="2"/>
    </font>
    <font>
      <sz val="9"/>
      <name val="Optima"/>
      <family val="2"/>
    </font>
    <font>
      <b/>
      <sz val="26"/>
      <name val="Optima"/>
      <family val="2"/>
    </font>
    <font>
      <i/>
      <sz val="11"/>
      <name val="Optima"/>
      <family val="0"/>
    </font>
    <font>
      <sz val="14"/>
      <name val="Optima"/>
      <family val="0"/>
    </font>
    <font>
      <sz val="10"/>
      <color indexed="10"/>
      <name val="Optima"/>
      <family val="2"/>
    </font>
    <font>
      <b/>
      <sz val="14"/>
      <name val="Optima"/>
      <family val="2"/>
    </font>
    <font>
      <b/>
      <sz val="13"/>
      <name val="Optima"/>
      <family val="2"/>
    </font>
    <font>
      <b/>
      <sz val="9"/>
      <name val="Optima"/>
      <family val="2"/>
    </font>
    <font>
      <sz val="8"/>
      <name val="Arial"/>
      <family val="0"/>
    </font>
    <font>
      <sz val="9"/>
      <name val="Arial"/>
      <family val="0"/>
    </font>
    <font>
      <b/>
      <i/>
      <sz val="11"/>
      <name val="Optima"/>
      <family val="2"/>
    </font>
    <font>
      <b/>
      <sz val="18"/>
      <name val="Optima"/>
      <family val="2"/>
    </font>
    <font>
      <b/>
      <sz val="16"/>
      <name val="Optima"/>
      <family val="2"/>
    </font>
    <font>
      <i/>
      <sz val="9"/>
      <name val="Optima"/>
      <family val="2"/>
    </font>
    <font>
      <sz val="12"/>
      <color indexed="10"/>
      <name val="Optima"/>
      <family val="2"/>
    </font>
    <font>
      <sz val="8"/>
      <name val="Optima"/>
      <family val="2"/>
    </font>
    <font>
      <b/>
      <sz val="8"/>
      <name val="Optima"/>
      <family val="2"/>
    </font>
    <font>
      <sz val="8"/>
      <color indexed="10"/>
      <name val="Optima"/>
      <family val="2"/>
    </font>
    <font>
      <u val="single"/>
      <sz val="10"/>
      <color indexed="36"/>
      <name val="Arial"/>
      <family val="0"/>
    </font>
    <font>
      <u val="single"/>
      <sz val="10"/>
      <color indexed="12"/>
      <name val="Arial"/>
      <family val="0"/>
    </font>
    <font>
      <sz val="10"/>
      <name val="MS Sans Serif"/>
      <family val="0"/>
    </font>
    <font>
      <b/>
      <sz val="10"/>
      <name val="MS Sans Serif"/>
      <family val="0"/>
    </font>
    <font>
      <b/>
      <u val="single"/>
      <sz val="12"/>
      <name val="Optima"/>
      <family val="2"/>
    </font>
    <font>
      <u val="single"/>
      <sz val="12"/>
      <name val="Optima"/>
      <family val="2"/>
    </font>
    <font>
      <u val="singleAccounting"/>
      <sz val="12"/>
      <name val="Optima"/>
      <family val="2"/>
    </font>
    <font>
      <b/>
      <sz val="12"/>
      <color indexed="10"/>
      <name val="Optima"/>
      <family val="2"/>
    </font>
    <font>
      <i/>
      <sz val="12"/>
      <name val="Optima"/>
      <family val="2"/>
    </font>
    <font>
      <b/>
      <i/>
      <sz val="10"/>
      <name val="Optima"/>
      <family val="2"/>
    </font>
  </fonts>
  <fills count="3">
    <fill>
      <patternFill/>
    </fill>
    <fill>
      <patternFill patternType="gray125"/>
    </fill>
    <fill>
      <patternFill patternType="mediumGray">
        <fgColor indexed="22"/>
      </patternFill>
    </fill>
  </fills>
  <borders count="8">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double"/>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209" fontId="0" fillId="0" borderId="0">
      <alignment/>
      <protection/>
    </xf>
    <xf numFmtId="208" fontId="0" fillId="0" borderId="0">
      <alignment/>
      <protection/>
    </xf>
    <xf numFmtId="207" fontId="0" fillId="0" borderId="0">
      <alignment/>
      <protection/>
    </xf>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0" fontId="29" fillId="0" borderId="1">
      <alignment horizontal="center"/>
      <protection/>
    </xf>
    <xf numFmtId="3" fontId="28" fillId="0" borderId="0" applyFont="0" applyFill="0" applyBorder="0" applyAlignment="0" applyProtection="0"/>
    <xf numFmtId="0" fontId="28" fillId="2" borderId="0" applyNumberFormat="0" applyFont="0" applyBorder="0" applyAlignment="0" applyProtection="0"/>
    <xf numFmtId="49" fontId="0" fillId="0" borderId="0">
      <alignment/>
      <protection/>
    </xf>
  </cellStyleXfs>
  <cellXfs count="351">
    <xf numFmtId="0" fontId="0" fillId="0" borderId="0" xfId="0" applyAlignment="1">
      <alignment/>
    </xf>
    <xf numFmtId="0" fontId="1" fillId="0" borderId="0" xfId="0" applyFont="1" applyAlignment="1">
      <alignment/>
    </xf>
    <xf numFmtId="0" fontId="2" fillId="0" borderId="0" xfId="0" applyFont="1" applyAlignment="1">
      <alignment/>
    </xf>
    <xf numFmtId="49" fontId="3" fillId="0" borderId="0" xfId="0" applyNumberFormat="1" applyFont="1" applyAlignment="1">
      <alignment horizontal="center"/>
    </xf>
    <xf numFmtId="0" fontId="3" fillId="0" borderId="2" xfId="0" applyFont="1" applyBorder="1" applyAlignment="1">
      <alignment horizontal="center"/>
    </xf>
    <xf numFmtId="0" fontId="3" fillId="0" borderId="0" xfId="0" applyFont="1" applyAlignment="1">
      <alignment/>
    </xf>
    <xf numFmtId="0" fontId="4" fillId="0" borderId="0" xfId="0" applyFont="1" applyAlignment="1">
      <alignment horizontal="right"/>
    </xf>
    <xf numFmtId="0" fontId="4" fillId="0" borderId="0" xfId="0" applyFont="1" applyAlignment="1">
      <alignment/>
    </xf>
    <xf numFmtId="10" fontId="4" fillId="0" borderId="0" xfId="0" applyNumberFormat="1" applyFont="1" applyAlignment="1">
      <alignment/>
    </xf>
    <xf numFmtId="0" fontId="5" fillId="0" borderId="0" xfId="0" applyFont="1" applyAlignment="1">
      <alignment/>
    </xf>
    <xf numFmtId="167" fontId="5" fillId="0" borderId="0" xfId="15" applyNumberFormat="1" applyFont="1" applyAlignment="1">
      <alignment/>
    </xf>
    <xf numFmtId="0" fontId="4"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168" fontId="2" fillId="0" borderId="0" xfId="17" applyNumberFormat="1" applyFont="1" applyAlignment="1">
      <alignment/>
    </xf>
    <xf numFmtId="167" fontId="2" fillId="0" borderId="0" xfId="15" applyNumberFormat="1" applyFont="1" applyAlignment="1">
      <alignment/>
    </xf>
    <xf numFmtId="168" fontId="1" fillId="0" borderId="0" xfId="17" applyNumberFormat="1" applyFont="1" applyBorder="1" applyAlignment="1">
      <alignment/>
    </xf>
    <xf numFmtId="167" fontId="1" fillId="0" borderId="0" xfId="15" applyNumberFormat="1" applyFont="1" applyAlignment="1">
      <alignment/>
    </xf>
    <xf numFmtId="168" fontId="2" fillId="0" borderId="3" xfId="17" applyNumberFormat="1" applyFont="1" applyBorder="1" applyAlignment="1">
      <alignment/>
    </xf>
    <xf numFmtId="0" fontId="1" fillId="0" borderId="0" xfId="0" applyFont="1" applyAlignment="1">
      <alignment/>
    </xf>
    <xf numFmtId="0" fontId="5" fillId="0" borderId="0" xfId="0" applyFont="1" applyAlignment="1">
      <alignment horizontal="center"/>
    </xf>
    <xf numFmtId="169" fontId="1" fillId="0" borderId="0" xfId="24" applyNumberFormat="1" applyFont="1" applyAlignment="1">
      <alignment/>
    </xf>
    <xf numFmtId="37" fontId="1" fillId="0" borderId="0" xfId="0" applyNumberFormat="1" applyFont="1" applyAlignment="1">
      <alignment/>
    </xf>
    <xf numFmtId="0" fontId="1" fillId="0" borderId="0" xfId="0" applyFont="1" applyAlignment="1">
      <alignment wrapText="1"/>
    </xf>
    <xf numFmtId="49" fontId="3" fillId="0" borderId="2" xfId="0" applyNumberFormat="1" applyFont="1" applyBorder="1" applyAlignment="1">
      <alignment horizontal="center"/>
    </xf>
    <xf numFmtId="168" fontId="1" fillId="0" borderId="0" xfId="17" applyNumberFormat="1" applyFont="1" applyAlignment="1">
      <alignment/>
    </xf>
    <xf numFmtId="167" fontId="1" fillId="0" borderId="2" xfId="15" applyNumberFormat="1" applyFont="1" applyBorder="1" applyAlignment="1">
      <alignment/>
    </xf>
    <xf numFmtId="0" fontId="1" fillId="0" borderId="0" xfId="0" applyFont="1" applyAlignment="1">
      <alignment horizontal="right"/>
    </xf>
    <xf numFmtId="168" fontId="1" fillId="0" borderId="3" xfId="17" applyNumberFormat="1" applyFont="1" applyBorder="1" applyAlignment="1">
      <alignment/>
    </xf>
    <xf numFmtId="168" fontId="1" fillId="0" borderId="4" xfId="17" applyNumberFormat="1" applyFont="1" applyBorder="1" applyAlignment="1">
      <alignment/>
    </xf>
    <xf numFmtId="44" fontId="1" fillId="0" borderId="0" xfId="17" applyFont="1" applyAlignment="1">
      <alignment/>
    </xf>
    <xf numFmtId="169" fontId="1" fillId="0" borderId="0" xfId="0" applyNumberFormat="1" applyFont="1" applyAlignment="1">
      <alignment/>
    </xf>
    <xf numFmtId="168" fontId="1" fillId="0" borderId="0" xfId="0" applyNumberFormat="1" applyFont="1" applyAlignment="1">
      <alignment/>
    </xf>
    <xf numFmtId="167" fontId="1" fillId="0" borderId="0" xfId="0" applyNumberFormat="1" applyFont="1" applyAlignment="1">
      <alignment/>
    </xf>
    <xf numFmtId="168" fontId="6" fillId="0" borderId="3" xfId="17" applyNumberFormat="1" applyFont="1" applyBorder="1" applyAlignment="1">
      <alignment/>
    </xf>
    <xf numFmtId="0" fontId="1" fillId="0" borderId="0" xfId="0" applyFont="1" applyAlignment="1">
      <alignment horizontal="center"/>
    </xf>
    <xf numFmtId="168" fontId="6" fillId="0" borderId="4" xfId="17" applyNumberFormat="1" applyFont="1" applyBorder="1" applyAlignment="1">
      <alignment/>
    </xf>
    <xf numFmtId="0" fontId="6" fillId="0" borderId="2" xfId="0" applyFont="1" applyBorder="1" applyAlignment="1">
      <alignment/>
    </xf>
    <xf numFmtId="169" fontId="1" fillId="0" borderId="3" xfId="0" applyNumberFormat="1" applyFont="1" applyBorder="1" applyAlignment="1">
      <alignment/>
    </xf>
    <xf numFmtId="169" fontId="1" fillId="0" borderId="0" xfId="0" applyNumberFormat="1" applyFont="1" applyBorder="1" applyAlignment="1">
      <alignment/>
    </xf>
    <xf numFmtId="167" fontId="2" fillId="0" borderId="2" xfId="15" applyNumberFormat="1" applyFont="1" applyBorder="1" applyAlignment="1">
      <alignment/>
    </xf>
    <xf numFmtId="168" fontId="5" fillId="0" borderId="3" xfId="17" applyNumberFormat="1" applyFont="1" applyBorder="1" applyAlignment="1">
      <alignment/>
    </xf>
    <xf numFmtId="0" fontId="7" fillId="0" borderId="0" xfId="0" applyFont="1" applyAlignment="1">
      <alignment/>
    </xf>
    <xf numFmtId="37" fontId="1" fillId="0" borderId="0" xfId="17" applyNumberFormat="1" applyFont="1" applyAlignment="1">
      <alignment/>
    </xf>
    <xf numFmtId="37" fontId="1" fillId="0" borderId="0" xfId="0" applyNumberFormat="1" applyFont="1" applyAlignment="1">
      <alignment horizontal="right"/>
    </xf>
    <xf numFmtId="167" fontId="1" fillId="0" borderId="0" xfId="15" applyNumberFormat="1" applyFont="1" applyAlignment="1">
      <alignment horizontal="right"/>
    </xf>
    <xf numFmtId="49" fontId="3" fillId="0" borderId="2" xfId="0" applyNumberFormat="1" applyFont="1" applyBorder="1" applyAlignment="1">
      <alignment horizontal="center" vertical="center"/>
    </xf>
    <xf numFmtId="164" fontId="2" fillId="0" borderId="0" xfId="17" applyNumberFormat="1" applyFont="1" applyAlignment="1">
      <alignment/>
    </xf>
    <xf numFmtId="164" fontId="2" fillId="0" borderId="0" xfId="0" applyNumberFormat="1" applyFont="1" applyAlignment="1">
      <alignment/>
    </xf>
    <xf numFmtId="168" fontId="2" fillId="0" borderId="0" xfId="0" applyNumberFormat="1" applyFont="1" applyAlignment="1">
      <alignment/>
    </xf>
    <xf numFmtId="165" fontId="2" fillId="0" borderId="0" xfId="0" applyNumberFormat="1" applyFont="1" applyAlignment="1">
      <alignment/>
    </xf>
    <xf numFmtId="37" fontId="2" fillId="0" borderId="0" xfId="0" applyNumberFormat="1" applyFont="1" applyAlignment="1">
      <alignment/>
    </xf>
    <xf numFmtId="0" fontId="2" fillId="0" borderId="0" xfId="0" applyFont="1" applyBorder="1" applyAlignment="1">
      <alignment/>
    </xf>
    <xf numFmtId="44" fontId="2" fillId="0" borderId="0" xfId="17" applyFont="1" applyAlignment="1">
      <alignment/>
    </xf>
    <xf numFmtId="39" fontId="2" fillId="0" borderId="0" xfId="0" applyNumberFormat="1" applyFont="1" applyAlignment="1">
      <alignment/>
    </xf>
    <xf numFmtId="0" fontId="1" fillId="0" borderId="0" xfId="0" applyFont="1" applyBorder="1" applyAlignment="1">
      <alignment/>
    </xf>
    <xf numFmtId="0" fontId="8" fillId="0" borderId="0" xfId="0" applyFont="1" applyAlignment="1">
      <alignment/>
    </xf>
    <xf numFmtId="37" fontId="5" fillId="0" borderId="0" xfId="0" applyNumberFormat="1" applyFont="1" applyAlignment="1">
      <alignment/>
    </xf>
    <xf numFmtId="2" fontId="3" fillId="0" borderId="0" xfId="0" applyNumberFormat="1" applyFont="1" applyAlignment="1">
      <alignment/>
    </xf>
    <xf numFmtId="0" fontId="6" fillId="0" borderId="0" xfId="0" applyFont="1" applyBorder="1" applyAlignment="1">
      <alignment/>
    </xf>
    <xf numFmtId="167" fontId="6" fillId="0" borderId="0" xfId="15" applyNumberFormat="1" applyFont="1" applyAlignment="1">
      <alignment/>
    </xf>
    <xf numFmtId="44" fontId="6" fillId="0" borderId="0" xfId="17" applyFont="1" applyAlignment="1">
      <alignment/>
    </xf>
    <xf numFmtId="168" fontId="6" fillId="0" borderId="4" xfId="17" applyNumberFormat="1" applyFont="1" applyFill="1" applyBorder="1" applyAlignment="1">
      <alignment/>
    </xf>
    <xf numFmtId="169" fontId="6" fillId="0" borderId="0" xfId="0" applyNumberFormat="1" applyFont="1" applyAlignment="1">
      <alignment/>
    </xf>
    <xf numFmtId="0" fontId="9" fillId="0" borderId="0" xfId="0" applyFont="1" applyAlignment="1">
      <alignment/>
    </xf>
    <xf numFmtId="0" fontId="4" fillId="0" borderId="0" xfId="0" applyFont="1" applyAlignment="1">
      <alignment horizontal="left"/>
    </xf>
    <xf numFmtId="171" fontId="4" fillId="0" borderId="0" xfId="0" applyNumberFormat="1" applyFont="1" applyAlignment="1">
      <alignment horizontal="center"/>
    </xf>
    <xf numFmtId="1" fontId="2" fillId="0" borderId="0" xfId="0" applyNumberFormat="1" applyFont="1" applyAlignment="1">
      <alignment horizontal="center"/>
    </xf>
    <xf numFmtId="49" fontId="2" fillId="0" borderId="0" xfId="0" applyNumberFormat="1" applyFont="1" applyAlignment="1">
      <alignment horizontal="center"/>
    </xf>
    <xf numFmtId="37" fontId="6" fillId="0" borderId="0" xfId="0" applyNumberFormat="1" applyFont="1" applyAlignment="1">
      <alignment/>
    </xf>
    <xf numFmtId="0" fontId="11" fillId="0" borderId="0" xfId="0" applyFont="1" applyAlignment="1">
      <alignment horizontal="center"/>
    </xf>
    <xf numFmtId="0" fontId="6" fillId="0" borderId="0" xfId="0" applyFont="1" applyAlignment="1">
      <alignment horizontal="left"/>
    </xf>
    <xf numFmtId="0" fontId="7" fillId="0" borderId="0" xfId="0" applyFont="1" applyBorder="1" applyAlignment="1">
      <alignment/>
    </xf>
    <xf numFmtId="49" fontId="3" fillId="0" borderId="0" xfId="0" applyNumberFormat="1" applyFont="1" applyBorder="1" applyAlignment="1">
      <alignment horizontal="center" vertical="center"/>
    </xf>
    <xf numFmtId="0" fontId="2" fillId="0" borderId="0" xfId="0" applyFont="1" applyAlignment="1">
      <alignment/>
    </xf>
    <xf numFmtId="0" fontId="1" fillId="0" borderId="0" xfId="0" applyFont="1" applyAlignment="1">
      <alignment horizontal="left"/>
    </xf>
    <xf numFmtId="0" fontId="5" fillId="0" borderId="0" xfId="0" applyFont="1" applyAlignment="1">
      <alignment horizontal="left"/>
    </xf>
    <xf numFmtId="0" fontId="1" fillId="0" borderId="0" xfId="0" applyFont="1" applyAlignment="1">
      <alignment horizontal="left" wrapText="1"/>
    </xf>
    <xf numFmtId="169" fontId="6" fillId="0" borderId="3" xfId="0" applyNumberFormat="1" applyFont="1" applyBorder="1" applyAlignment="1">
      <alignment/>
    </xf>
    <xf numFmtId="0" fontId="6" fillId="0" borderId="0" xfId="0" applyFont="1" applyAlignment="1">
      <alignment/>
    </xf>
    <xf numFmtId="0" fontId="12" fillId="0" borderId="0" xfId="0" applyFont="1" applyAlignment="1">
      <alignment/>
    </xf>
    <xf numFmtId="168" fontId="4" fillId="0" borderId="0" xfId="0" applyNumberFormat="1" applyFont="1" applyAlignment="1">
      <alignment/>
    </xf>
    <xf numFmtId="169" fontId="6" fillId="0" borderId="0" xfId="24" applyNumberFormat="1" applyFont="1" applyBorder="1" applyAlignment="1">
      <alignment/>
    </xf>
    <xf numFmtId="168" fontId="6" fillId="0" borderId="0" xfId="17" applyNumberFormat="1" applyFont="1" applyBorder="1" applyAlignment="1">
      <alignment/>
    </xf>
    <xf numFmtId="168" fontId="4" fillId="0" borderId="0" xfId="17" applyNumberFormat="1" applyFont="1" applyBorder="1" applyAlignment="1">
      <alignment/>
    </xf>
    <xf numFmtId="0" fontId="10" fillId="0" borderId="0" xfId="0" applyFont="1" applyAlignment="1">
      <alignment/>
    </xf>
    <xf numFmtId="169" fontId="1" fillId="0" borderId="0" xfId="0" applyNumberFormat="1" applyFont="1" applyBorder="1" applyAlignment="1">
      <alignment horizontal="right"/>
    </xf>
    <xf numFmtId="169" fontId="6" fillId="0" borderId="0" xfId="0" applyNumberFormat="1" applyFont="1" applyBorder="1" applyAlignment="1">
      <alignment/>
    </xf>
    <xf numFmtId="167" fontId="1" fillId="0" borderId="0" xfId="15" applyNumberFormat="1" applyFont="1" applyBorder="1" applyAlignment="1">
      <alignment/>
    </xf>
    <xf numFmtId="10" fontId="1" fillId="0" borderId="0" xfId="24" applyNumberFormat="1" applyFont="1" applyBorder="1" applyAlignment="1">
      <alignment/>
    </xf>
    <xf numFmtId="10" fontId="6" fillId="0" borderId="0" xfId="24" applyNumberFormat="1" applyFont="1" applyBorder="1" applyAlignment="1">
      <alignment horizontal="center"/>
    </xf>
    <xf numFmtId="10" fontId="6" fillId="0" borderId="0" xfId="24" applyNumberFormat="1" applyFont="1" applyBorder="1" applyAlignment="1">
      <alignment/>
    </xf>
    <xf numFmtId="9" fontId="4" fillId="0" borderId="0" xfId="0" applyNumberFormat="1" applyFont="1" applyBorder="1" applyAlignment="1">
      <alignment/>
    </xf>
    <xf numFmtId="49" fontId="1" fillId="0" borderId="0" xfId="0" applyNumberFormat="1" applyFont="1" applyAlignment="1">
      <alignment horizontal="center"/>
    </xf>
    <xf numFmtId="0" fontId="5" fillId="0" borderId="2" xfId="0" applyFont="1" applyBorder="1" applyAlignment="1">
      <alignment horizontal="center"/>
    </xf>
    <xf numFmtId="41" fontId="1" fillId="0" borderId="0" xfId="0" applyNumberFormat="1" applyFont="1" applyAlignment="1">
      <alignment/>
    </xf>
    <xf numFmtId="41" fontId="1" fillId="0" borderId="2" xfId="0" applyNumberFormat="1" applyFont="1" applyBorder="1" applyAlignment="1">
      <alignment/>
    </xf>
    <xf numFmtId="9" fontId="1" fillId="0" borderId="0" xfId="0" applyNumberFormat="1" applyFont="1" applyAlignment="1">
      <alignment/>
    </xf>
    <xf numFmtId="169" fontId="1" fillId="0" borderId="0" xfId="0" applyNumberFormat="1" applyFont="1" applyAlignment="1">
      <alignment horizontal="right"/>
    </xf>
    <xf numFmtId="169" fontId="2" fillId="0" borderId="0" xfId="0" applyNumberFormat="1" applyFont="1" applyAlignment="1">
      <alignment/>
    </xf>
    <xf numFmtId="0" fontId="3" fillId="0" borderId="0" xfId="0" applyFont="1" applyBorder="1" applyAlignment="1">
      <alignment horizontal="center"/>
    </xf>
    <xf numFmtId="10" fontId="6" fillId="0" borderId="5" xfId="24" applyNumberFormat="1" applyFont="1" applyBorder="1" applyAlignment="1">
      <alignment horizontal="right"/>
    </xf>
    <xf numFmtId="0" fontId="1" fillId="0" borderId="0" xfId="0" applyFont="1" applyBorder="1" applyAlignment="1">
      <alignment horizontal="right"/>
    </xf>
    <xf numFmtId="0" fontId="4" fillId="0" borderId="0" xfId="0" applyFont="1" applyAlignment="1">
      <alignment/>
    </xf>
    <xf numFmtId="0" fontId="2" fillId="0" borderId="0" xfId="0" applyFont="1" applyAlignment="1">
      <alignment/>
    </xf>
    <xf numFmtId="41" fontId="2" fillId="0" borderId="0" xfId="0" applyNumberFormat="1" applyFont="1" applyAlignment="1">
      <alignment/>
    </xf>
    <xf numFmtId="41" fontId="2" fillId="0" borderId="2" xfId="0" applyNumberFormat="1" applyFont="1" applyBorder="1" applyAlignment="1">
      <alignment/>
    </xf>
    <xf numFmtId="0" fontId="3" fillId="0" borderId="0" xfId="0" applyFont="1" applyAlignment="1">
      <alignment horizontal="center"/>
    </xf>
    <xf numFmtId="169" fontId="2" fillId="0" borderId="3" xfId="0" applyNumberFormat="1" applyFont="1" applyBorder="1" applyAlignment="1">
      <alignment/>
    </xf>
    <xf numFmtId="169" fontId="6" fillId="0" borderId="4" xfId="0" applyNumberFormat="1" applyFont="1" applyBorder="1" applyAlignment="1">
      <alignment horizontal="right"/>
    </xf>
    <xf numFmtId="49" fontId="3" fillId="0" borderId="0" xfId="0" applyNumberFormat="1" applyFont="1" applyBorder="1" applyAlignment="1">
      <alignment horizontal="center"/>
    </xf>
    <xf numFmtId="44" fontId="1" fillId="0" borderId="0" xfId="17" applyFont="1" applyBorder="1" applyAlignment="1">
      <alignment horizontal="right"/>
    </xf>
    <xf numFmtId="49" fontId="4" fillId="0" borderId="0" xfId="0" applyNumberFormat="1" applyFont="1" applyBorder="1" applyAlignment="1">
      <alignment horizontal="center"/>
    </xf>
    <xf numFmtId="37" fontId="1" fillId="0" borderId="0" xfId="17" applyNumberFormat="1" applyFont="1" applyBorder="1" applyAlignment="1">
      <alignment/>
    </xf>
    <xf numFmtId="37" fontId="1" fillId="0" borderId="0" xfId="0" applyNumberFormat="1" applyFont="1" applyBorder="1" applyAlignment="1">
      <alignment/>
    </xf>
    <xf numFmtId="42" fontId="1" fillId="0" borderId="0" xfId="0" applyNumberFormat="1" applyFont="1" applyBorder="1" applyAlignment="1">
      <alignment/>
    </xf>
    <xf numFmtId="44" fontId="6" fillId="0" borderId="0" xfId="17" applyNumberFormat="1" applyFont="1" applyBorder="1" applyAlignment="1">
      <alignment/>
    </xf>
    <xf numFmtId="44" fontId="1" fillId="0" borderId="3" xfId="17" applyNumberFormat="1" applyFont="1" applyBorder="1" applyAlignment="1">
      <alignment/>
    </xf>
    <xf numFmtId="44" fontId="1" fillId="0" borderId="0" xfId="17" applyNumberFormat="1" applyFont="1" applyBorder="1" applyAlignment="1">
      <alignment/>
    </xf>
    <xf numFmtId="42" fontId="1" fillId="0" borderId="3" xfId="17" applyNumberFormat="1" applyFont="1" applyBorder="1" applyAlignment="1">
      <alignment/>
    </xf>
    <xf numFmtId="42" fontId="1" fillId="0" borderId="0" xfId="17" applyNumberFormat="1" applyFont="1" applyBorder="1" applyAlignment="1">
      <alignment/>
    </xf>
    <xf numFmtId="41" fontId="1" fillId="0" borderId="0" xfId="17" applyNumberFormat="1" applyFont="1" applyBorder="1" applyAlignment="1">
      <alignment/>
    </xf>
    <xf numFmtId="43" fontId="1" fillId="0" borderId="0" xfId="17" applyNumberFormat="1" applyFont="1" applyAlignment="1">
      <alignment/>
    </xf>
    <xf numFmtId="43" fontId="1" fillId="0" borderId="0" xfId="0" applyNumberFormat="1" applyFont="1" applyAlignment="1">
      <alignment/>
    </xf>
    <xf numFmtId="44" fontId="1" fillId="0" borderId="0" xfId="0" applyNumberFormat="1" applyFont="1" applyBorder="1" applyAlignment="1">
      <alignment/>
    </xf>
    <xf numFmtId="167" fontId="2" fillId="0" borderId="0" xfId="17" applyNumberFormat="1" applyFont="1" applyAlignment="1">
      <alignment/>
    </xf>
    <xf numFmtId="0" fontId="2" fillId="0" borderId="0" xfId="0" applyFont="1" applyAlignment="1">
      <alignment horizontal="center"/>
    </xf>
    <xf numFmtId="169" fontId="4" fillId="0" borderId="0" xfId="0" applyNumberFormat="1" applyFont="1" applyAlignment="1">
      <alignment horizontal="center"/>
    </xf>
    <xf numFmtId="0" fontId="5" fillId="0" borderId="0" xfId="0" applyFont="1" applyAlignment="1" quotePrefix="1">
      <alignment horizontal="center"/>
    </xf>
    <xf numFmtId="49" fontId="5" fillId="0" borderId="2" xfId="0" applyNumberFormat="1" applyFont="1" applyBorder="1" applyAlignment="1">
      <alignment horizontal="center" vertical="center"/>
    </xf>
    <xf numFmtId="49" fontId="5" fillId="0" borderId="0" xfId="0" applyNumberFormat="1" applyFont="1" applyBorder="1" applyAlignment="1">
      <alignment horizontal="center"/>
    </xf>
    <xf numFmtId="15" fontId="3" fillId="0" borderId="0" xfId="0" applyNumberFormat="1" applyFont="1" applyAlignment="1" quotePrefix="1">
      <alignment horizontal="center"/>
    </xf>
    <xf numFmtId="15" fontId="5" fillId="0" borderId="0" xfId="0" applyNumberFormat="1" applyFont="1" applyAlignment="1" quotePrefix="1">
      <alignment horizontal="center"/>
    </xf>
    <xf numFmtId="169" fontId="6" fillId="0" borderId="3" xfId="0" applyNumberFormat="1" applyFont="1" applyBorder="1" applyAlignment="1">
      <alignment horizontal="right"/>
    </xf>
    <xf numFmtId="10" fontId="1" fillId="0" borderId="0" xfId="15" applyNumberFormat="1" applyFont="1" applyAlignment="1">
      <alignment horizontal="right"/>
    </xf>
    <xf numFmtId="43" fontId="1" fillId="0" borderId="0" xfId="0" applyNumberFormat="1" applyFont="1" applyBorder="1" applyAlignment="1">
      <alignment/>
    </xf>
    <xf numFmtId="168" fontId="1" fillId="0" borderId="0" xfId="17" applyNumberFormat="1" applyFont="1" applyAlignment="1">
      <alignment wrapText="1"/>
    </xf>
    <xf numFmtId="167" fontId="1" fillId="0" borderId="0" xfId="15" applyNumberFormat="1" applyFont="1" applyAlignment="1">
      <alignment wrapText="1"/>
    </xf>
    <xf numFmtId="167" fontId="1" fillId="0" borderId="2" xfId="15" applyNumberFormat="1" applyFont="1" applyBorder="1" applyAlignment="1">
      <alignment wrapText="1"/>
    </xf>
    <xf numFmtId="169" fontId="1" fillId="0" borderId="6" xfId="17" applyNumberFormat="1" applyFont="1" applyBorder="1" applyAlignment="1">
      <alignment horizontal="center"/>
    </xf>
    <xf numFmtId="168" fontId="1" fillId="0" borderId="0" xfId="17" applyNumberFormat="1" applyFont="1" applyAlignment="1">
      <alignment horizontal="center"/>
    </xf>
    <xf numFmtId="168" fontId="1" fillId="0" borderId="0" xfId="17" applyNumberFormat="1" applyFont="1" applyBorder="1" applyAlignment="1">
      <alignment horizontal="center"/>
    </xf>
    <xf numFmtId="168" fontId="1" fillId="0" borderId="7" xfId="17" applyNumberFormat="1" applyFont="1" applyBorder="1" applyAlignment="1">
      <alignment/>
    </xf>
    <xf numFmtId="0" fontId="0" fillId="0" borderId="0" xfId="0" applyFont="1" applyAlignment="1">
      <alignment/>
    </xf>
    <xf numFmtId="41" fontId="1" fillId="0" borderId="0" xfId="0" applyNumberFormat="1" applyFont="1" applyAlignment="1">
      <alignment horizontal="right"/>
    </xf>
    <xf numFmtId="0" fontId="1" fillId="0" borderId="0" xfId="0" applyFont="1" applyBorder="1" applyAlignment="1">
      <alignment horizontal="center"/>
    </xf>
    <xf numFmtId="0" fontId="6" fillId="0" borderId="0" xfId="0" applyFont="1" applyBorder="1" applyAlignment="1">
      <alignment horizontal="center"/>
    </xf>
    <xf numFmtId="0" fontId="3" fillId="0" borderId="0" xfId="0" applyFont="1" applyAlignment="1">
      <alignment/>
    </xf>
    <xf numFmtId="168" fontId="1" fillId="0" borderId="0" xfId="17" applyNumberFormat="1" applyFont="1" applyFill="1" applyBorder="1" applyAlignment="1">
      <alignment/>
    </xf>
    <xf numFmtId="0" fontId="15" fillId="0" borderId="0" xfId="0" applyFont="1" applyAlignment="1">
      <alignment horizontal="center"/>
    </xf>
    <xf numFmtId="49" fontId="8" fillId="0" borderId="0" xfId="0" applyNumberFormat="1" applyFont="1" applyAlignment="1">
      <alignment horizontal="center"/>
    </xf>
    <xf numFmtId="0" fontId="15" fillId="0" borderId="0" xfId="0" applyFont="1" applyAlignment="1">
      <alignment/>
    </xf>
    <xf numFmtId="0" fontId="8" fillId="0" borderId="0" xfId="0" applyFont="1" applyAlignment="1">
      <alignment horizontal="center"/>
    </xf>
    <xf numFmtId="168" fontId="8" fillId="0" borderId="0" xfId="17" applyNumberFormat="1" applyFont="1" applyAlignment="1">
      <alignment/>
    </xf>
    <xf numFmtId="169" fontId="8" fillId="0" borderId="6" xfId="17" applyNumberFormat="1" applyFont="1" applyBorder="1" applyAlignment="1">
      <alignment horizontal="center"/>
    </xf>
    <xf numFmtId="167" fontId="8" fillId="0" borderId="0" xfId="15" applyNumberFormat="1" applyFont="1" applyAlignment="1">
      <alignment/>
    </xf>
    <xf numFmtId="168" fontId="8" fillId="0" borderId="4" xfId="17" applyNumberFormat="1" applyFont="1" applyBorder="1" applyAlignment="1">
      <alignment/>
    </xf>
    <xf numFmtId="168" fontId="8" fillId="0" borderId="0" xfId="17" applyNumberFormat="1" applyFont="1" applyBorder="1" applyAlignment="1">
      <alignment/>
    </xf>
    <xf numFmtId="192" fontId="3" fillId="0" borderId="2" xfId="0" applyNumberFormat="1" applyFont="1" applyBorder="1" applyAlignment="1" quotePrefix="1">
      <alignment horizontal="center"/>
    </xf>
    <xf numFmtId="168" fontId="4" fillId="0" borderId="0" xfId="17" applyNumberFormat="1" applyFont="1" applyAlignment="1">
      <alignment/>
    </xf>
    <xf numFmtId="169" fontId="4" fillId="0" borderId="0" xfId="0" applyNumberFormat="1" applyFont="1" applyAlignment="1">
      <alignment/>
    </xf>
    <xf numFmtId="167" fontId="4" fillId="0" borderId="0" xfId="15" applyNumberFormat="1" applyFont="1" applyAlignment="1">
      <alignment/>
    </xf>
    <xf numFmtId="168" fontId="4" fillId="0" borderId="3" xfId="17" applyNumberFormat="1" applyFont="1" applyBorder="1" applyAlignment="1">
      <alignment/>
    </xf>
    <xf numFmtId="168" fontId="6" fillId="0" borderId="7" xfId="17" applyNumberFormat="1" applyFont="1" applyBorder="1" applyAlignment="1">
      <alignment/>
    </xf>
    <xf numFmtId="0" fontId="5" fillId="0" borderId="0" xfId="0" applyNumberFormat="1" applyFont="1" applyAlignment="1">
      <alignment/>
    </xf>
    <xf numFmtId="0" fontId="5" fillId="0" borderId="0" xfId="17" applyNumberFormat="1" applyFont="1" applyAlignment="1">
      <alignment horizontal="center"/>
    </xf>
    <xf numFmtId="10" fontId="1" fillId="0" borderId="2" xfId="15" applyNumberFormat="1" applyFont="1" applyBorder="1" applyAlignment="1">
      <alignment horizontal="right"/>
    </xf>
    <xf numFmtId="15" fontId="5" fillId="0" borderId="0" xfId="0" applyNumberFormat="1" applyFont="1" applyAlignment="1" quotePrefix="1">
      <alignment/>
    </xf>
    <xf numFmtId="43" fontId="0" fillId="0" borderId="0" xfId="0" applyNumberFormat="1" applyAlignment="1">
      <alignment/>
    </xf>
    <xf numFmtId="168" fontId="1" fillId="0" borderId="0" xfId="17" applyNumberFormat="1" applyFont="1" applyFill="1" applyBorder="1" applyAlignment="1">
      <alignment horizontal="center"/>
    </xf>
    <xf numFmtId="167" fontId="1" fillId="0" borderId="0" xfId="15" applyNumberFormat="1" applyFont="1" applyFill="1" applyAlignment="1">
      <alignment/>
    </xf>
    <xf numFmtId="169" fontId="8" fillId="0" borderId="0" xfId="0" applyNumberFormat="1" applyFont="1" applyBorder="1" applyAlignment="1">
      <alignment/>
    </xf>
    <xf numFmtId="0" fontId="8" fillId="0" borderId="0" xfId="0" applyFont="1" applyBorder="1" applyAlignment="1">
      <alignment/>
    </xf>
    <xf numFmtId="167" fontId="8" fillId="0" borderId="0" xfId="15" applyNumberFormat="1" applyFont="1" applyBorder="1" applyAlignment="1">
      <alignment/>
    </xf>
    <xf numFmtId="167" fontId="8" fillId="0" borderId="0" xfId="15" applyNumberFormat="1" applyFont="1" applyFill="1" applyBorder="1" applyAlignment="1">
      <alignment/>
    </xf>
    <xf numFmtId="49" fontId="5" fillId="0" borderId="2" xfId="0" applyNumberFormat="1" applyFont="1" applyBorder="1" applyAlignment="1">
      <alignment horizontal="center"/>
    </xf>
    <xf numFmtId="0" fontId="17" fillId="0" borderId="0" xfId="0" applyFont="1" applyAlignment="1">
      <alignment/>
    </xf>
    <xf numFmtId="0" fontId="8" fillId="0" borderId="0" xfId="0" applyFont="1" applyAlignment="1">
      <alignment wrapText="1"/>
    </xf>
    <xf numFmtId="37" fontId="8" fillId="0" borderId="0" xfId="0" applyNumberFormat="1" applyFont="1" applyAlignment="1">
      <alignment/>
    </xf>
    <xf numFmtId="167" fontId="8" fillId="0" borderId="0" xfId="15" applyNumberFormat="1" applyFont="1" applyFill="1" applyAlignment="1">
      <alignment/>
    </xf>
    <xf numFmtId="169" fontId="8" fillId="0" borderId="0" xfId="0" applyNumberFormat="1" applyFont="1" applyAlignment="1">
      <alignment/>
    </xf>
    <xf numFmtId="169" fontId="8" fillId="0" borderId="3" xfId="0" applyNumberFormat="1" applyFont="1" applyBorder="1" applyAlignment="1">
      <alignment/>
    </xf>
    <xf numFmtId="0" fontId="0" fillId="0" borderId="0" xfId="0" applyFont="1" applyAlignment="1">
      <alignment/>
    </xf>
    <xf numFmtId="168" fontId="1" fillId="0" borderId="0" xfId="17" applyNumberFormat="1" applyFont="1" applyFill="1" applyAlignment="1">
      <alignment horizontal="center"/>
    </xf>
    <xf numFmtId="168" fontId="5" fillId="0" borderId="0" xfId="17" applyNumberFormat="1" applyFont="1" applyBorder="1" applyAlignment="1">
      <alignment/>
    </xf>
    <xf numFmtId="0" fontId="18" fillId="0" borderId="0" xfId="0" applyFont="1" applyAlignment="1">
      <alignment/>
    </xf>
    <xf numFmtId="0" fontId="6" fillId="0" borderId="2" xfId="0" applyFont="1" applyBorder="1" applyAlignment="1">
      <alignment horizontal="center"/>
    </xf>
    <xf numFmtId="0" fontId="1" fillId="0" borderId="2" xfId="0" applyFont="1" applyBorder="1" applyAlignment="1">
      <alignment/>
    </xf>
    <xf numFmtId="0" fontId="19" fillId="0" borderId="0" xfId="0" applyFont="1" applyAlignment="1">
      <alignment horizontal="center"/>
    </xf>
    <xf numFmtId="0" fontId="21" fillId="0" borderId="0" xfId="0" applyFont="1" applyAlignment="1">
      <alignment/>
    </xf>
    <xf numFmtId="0" fontId="13" fillId="0" borderId="0" xfId="0" applyFont="1" applyAlignment="1">
      <alignment/>
    </xf>
    <xf numFmtId="37" fontId="13" fillId="0" borderId="0" xfId="0" applyNumberFormat="1" applyFont="1" applyAlignment="1">
      <alignment/>
    </xf>
    <xf numFmtId="0" fontId="5" fillId="0" borderId="0" xfId="0" applyFont="1" applyAlignment="1">
      <alignment/>
    </xf>
    <xf numFmtId="0" fontId="1" fillId="0" borderId="0" xfId="0" applyFont="1" applyAlignment="1">
      <alignment vertical="top" wrapText="1"/>
    </xf>
    <xf numFmtId="0" fontId="6" fillId="0" borderId="0" xfId="0" applyFont="1" applyAlignment="1">
      <alignment wrapText="1"/>
    </xf>
    <xf numFmtId="41" fontId="1" fillId="0" borderId="0" xfId="0" applyNumberFormat="1" applyFont="1" applyAlignment="1">
      <alignment wrapText="1"/>
    </xf>
    <xf numFmtId="0" fontId="0" fillId="0" borderId="0" xfId="0" applyAlignment="1">
      <alignment wrapText="1"/>
    </xf>
    <xf numFmtId="43" fontId="1" fillId="0" borderId="0" xfId="0" applyNumberFormat="1" applyFont="1" applyAlignment="1">
      <alignment wrapText="1"/>
    </xf>
    <xf numFmtId="49" fontId="3" fillId="0" borderId="0" xfId="0" applyNumberFormat="1" applyFont="1" applyBorder="1" applyAlignment="1" quotePrefix="1">
      <alignment horizontal="center"/>
    </xf>
    <xf numFmtId="49" fontId="3" fillId="0" borderId="2" xfId="0" applyNumberFormat="1" applyFont="1" applyBorder="1" applyAlignment="1" quotePrefix="1">
      <alignment horizontal="center"/>
    </xf>
    <xf numFmtId="168" fontId="1" fillId="0" borderId="0" xfId="0" applyNumberFormat="1" applyFont="1" applyBorder="1" applyAlignment="1">
      <alignment/>
    </xf>
    <xf numFmtId="167" fontId="1" fillId="0" borderId="0" xfId="0" applyNumberFormat="1" applyFont="1" applyBorder="1" applyAlignment="1">
      <alignment/>
    </xf>
    <xf numFmtId="49" fontId="6" fillId="0" borderId="0" xfId="0" applyNumberFormat="1" applyFont="1" applyAlignment="1">
      <alignment horizontal="center"/>
    </xf>
    <xf numFmtId="169" fontId="1" fillId="0" borderId="0" xfId="0" applyNumberFormat="1" applyFont="1" applyAlignment="1">
      <alignment horizontal="center"/>
    </xf>
    <xf numFmtId="0" fontId="22" fillId="0" borderId="0" xfId="0" applyFont="1" applyAlignment="1">
      <alignment/>
    </xf>
    <xf numFmtId="192" fontId="6" fillId="0" borderId="2" xfId="0" applyNumberFormat="1" applyFont="1" applyBorder="1" applyAlignment="1">
      <alignment horizontal="center"/>
    </xf>
    <xf numFmtId="167" fontId="1" fillId="0" borderId="0" xfId="15" applyNumberFormat="1" applyFont="1" applyAlignment="1">
      <alignment horizontal="center"/>
    </xf>
    <xf numFmtId="167" fontId="1" fillId="0" borderId="0" xfId="15" applyNumberFormat="1" applyFont="1" applyAlignment="1" quotePrefix="1">
      <alignment horizontal="center"/>
    </xf>
    <xf numFmtId="168" fontId="1" fillId="0" borderId="0" xfId="0" applyNumberFormat="1" applyFont="1" applyAlignment="1">
      <alignment horizontal="center"/>
    </xf>
    <xf numFmtId="15" fontId="6" fillId="0" borderId="2" xfId="0" applyNumberFormat="1" applyFont="1" applyBorder="1" applyAlignment="1" quotePrefix="1">
      <alignment horizontal="center"/>
    </xf>
    <xf numFmtId="15" fontId="6" fillId="0" borderId="0" xfId="0" applyNumberFormat="1" applyFont="1" applyBorder="1" applyAlignment="1" quotePrefix="1">
      <alignment horizontal="center"/>
    </xf>
    <xf numFmtId="42" fontId="1" fillId="0" borderId="0" xfId="0" applyNumberFormat="1" applyFont="1" applyAlignment="1">
      <alignment/>
    </xf>
    <xf numFmtId="42" fontId="1" fillId="0" borderId="3" xfId="0" applyNumberFormat="1" applyFont="1" applyBorder="1" applyAlignment="1">
      <alignment/>
    </xf>
    <xf numFmtId="0" fontId="1" fillId="0" borderId="0" xfId="0" applyFont="1" applyFill="1" applyAlignment="1">
      <alignment/>
    </xf>
    <xf numFmtId="0" fontId="3" fillId="0" borderId="0" xfId="0" applyFont="1" applyAlignment="1">
      <alignment horizontal="right"/>
    </xf>
    <xf numFmtId="0" fontId="1" fillId="0" borderId="0" xfId="0" applyFont="1" applyAlignment="1">
      <alignment horizontal="justify" vertical="justify" wrapText="1"/>
    </xf>
    <xf numFmtId="0" fontId="23" fillId="0" borderId="0" xfId="0" applyFont="1" applyAlignment="1">
      <alignment/>
    </xf>
    <xf numFmtId="168" fontId="24" fillId="0" borderId="0" xfId="17" applyNumberFormat="1" applyFont="1" applyAlignment="1">
      <alignment/>
    </xf>
    <xf numFmtId="168" fontId="23" fillId="0" borderId="0" xfId="17" applyNumberFormat="1" applyFont="1" applyAlignment="1">
      <alignment/>
    </xf>
    <xf numFmtId="0" fontId="24" fillId="0" borderId="0" xfId="0" applyFont="1" applyAlignment="1">
      <alignment/>
    </xf>
    <xf numFmtId="0" fontId="25" fillId="0" borderId="0" xfId="0" applyFont="1" applyAlignment="1">
      <alignment/>
    </xf>
    <xf numFmtId="168" fontId="24" fillId="0" borderId="0" xfId="17" applyNumberFormat="1" applyFont="1" applyAlignment="1">
      <alignment horizontal="center"/>
    </xf>
    <xf numFmtId="49" fontId="24" fillId="0" borderId="0" xfId="0" applyNumberFormat="1" applyFont="1" applyAlignment="1">
      <alignment horizontal="center"/>
    </xf>
    <xf numFmtId="198" fontId="23" fillId="0" borderId="0" xfId="0" applyNumberFormat="1" applyFont="1" applyAlignment="1">
      <alignment/>
    </xf>
    <xf numFmtId="198" fontId="24" fillId="0" borderId="2" xfId="17" applyNumberFormat="1" applyFont="1" applyBorder="1" applyAlignment="1">
      <alignment horizontal="center"/>
    </xf>
    <xf numFmtId="198" fontId="24" fillId="0" borderId="2" xfId="0" applyNumberFormat="1" applyFont="1" applyBorder="1" applyAlignment="1">
      <alignment horizontal="center"/>
    </xf>
    <xf numFmtId="198" fontId="24" fillId="0" borderId="2" xfId="0" applyNumberFormat="1" applyFont="1" applyBorder="1" applyAlignment="1" quotePrefix="1">
      <alignment horizontal="center"/>
    </xf>
    <xf numFmtId="0" fontId="23" fillId="0" borderId="0" xfId="0" applyFont="1" applyAlignment="1">
      <alignment horizontal="left"/>
    </xf>
    <xf numFmtId="169" fontId="23" fillId="0" borderId="0" xfId="0" applyNumberFormat="1" applyFont="1" applyAlignment="1">
      <alignment/>
    </xf>
    <xf numFmtId="169" fontId="23" fillId="0" borderId="0" xfId="24" applyNumberFormat="1" applyFont="1" applyAlignment="1">
      <alignment/>
    </xf>
    <xf numFmtId="168" fontId="23" fillId="0" borderId="3" xfId="17" applyNumberFormat="1" applyFont="1" applyBorder="1" applyAlignment="1">
      <alignment/>
    </xf>
    <xf numFmtId="9" fontId="23" fillId="0" borderId="3" xfId="0" applyNumberFormat="1" applyFont="1" applyBorder="1" applyAlignment="1">
      <alignment/>
    </xf>
    <xf numFmtId="168" fontId="23" fillId="0" borderId="0" xfId="17" applyNumberFormat="1" applyFont="1" applyBorder="1" applyAlignment="1">
      <alignment/>
    </xf>
    <xf numFmtId="10" fontId="23" fillId="0" borderId="0" xfId="0" applyNumberFormat="1" applyFont="1" applyAlignment="1">
      <alignment/>
    </xf>
    <xf numFmtId="169" fontId="23" fillId="0" borderId="3" xfId="24" applyNumberFormat="1" applyFont="1" applyBorder="1" applyAlignment="1">
      <alignment/>
    </xf>
    <xf numFmtId="9" fontId="23" fillId="0" borderId="0" xfId="0" applyNumberFormat="1" applyFont="1" applyBorder="1" applyAlignment="1">
      <alignment/>
    </xf>
    <xf numFmtId="0" fontId="23" fillId="0" borderId="0" xfId="0" applyFont="1" applyAlignment="1">
      <alignment horizontal="right"/>
    </xf>
    <xf numFmtId="169" fontId="23" fillId="0" borderId="3" xfId="0" applyNumberFormat="1" applyFont="1" applyBorder="1" applyAlignment="1">
      <alignment/>
    </xf>
    <xf numFmtId="167" fontId="23" fillId="0" borderId="0" xfId="17" applyNumberFormat="1" applyFont="1" applyAlignment="1">
      <alignment/>
    </xf>
    <xf numFmtId="0" fontId="1" fillId="0" borderId="0" xfId="0" applyNumberFormat="1" applyFont="1" applyAlignment="1">
      <alignment horizontal="right"/>
    </xf>
    <xf numFmtId="167" fontId="3" fillId="0" borderId="0" xfId="15" applyNumberFormat="1" applyFont="1" applyBorder="1" applyAlignment="1">
      <alignment vertical="center"/>
    </xf>
    <xf numFmtId="167" fontId="30" fillId="0" borderId="0" xfId="15" applyNumberFormat="1" applyFont="1" applyBorder="1" applyAlignment="1">
      <alignment vertical="center"/>
    </xf>
    <xf numFmtId="168" fontId="3" fillId="0" borderId="0" xfId="15" applyNumberFormat="1" applyFont="1" applyBorder="1" applyAlignment="1">
      <alignment vertical="center"/>
    </xf>
    <xf numFmtId="0" fontId="4" fillId="0" borderId="0" xfId="0" applyFont="1" applyBorder="1" applyAlignment="1">
      <alignment horizontal="center"/>
    </xf>
    <xf numFmtId="192" fontId="3" fillId="0" borderId="0" xfId="0" applyNumberFormat="1" applyFont="1" applyAlignment="1">
      <alignment horizontal="center"/>
    </xf>
    <xf numFmtId="0" fontId="4" fillId="0" borderId="0" xfId="0" applyFont="1" applyBorder="1" applyAlignment="1">
      <alignment/>
    </xf>
    <xf numFmtId="0" fontId="30" fillId="0" borderId="0" xfId="0" applyFont="1" applyAlignment="1">
      <alignment horizontal="center"/>
    </xf>
    <xf numFmtId="0" fontId="30" fillId="0" borderId="0" xfId="0" applyFont="1" applyAlignment="1">
      <alignment horizontal="left"/>
    </xf>
    <xf numFmtId="168" fontId="4" fillId="0" borderId="0" xfId="15" applyNumberFormat="1" applyFont="1" applyFill="1" applyBorder="1" applyAlignment="1">
      <alignment/>
    </xf>
    <xf numFmtId="167" fontId="4" fillId="0" borderId="0" xfId="15" applyNumberFormat="1" applyFont="1" applyBorder="1" applyAlignment="1">
      <alignment/>
    </xf>
    <xf numFmtId="167" fontId="4" fillId="0" borderId="0" xfId="0" applyNumberFormat="1" applyFont="1" applyAlignment="1">
      <alignment/>
    </xf>
    <xf numFmtId="167" fontId="4" fillId="0" borderId="0" xfId="15" applyNumberFormat="1" applyFont="1" applyFill="1" applyBorder="1" applyAlignment="1">
      <alignment/>
    </xf>
    <xf numFmtId="0" fontId="4" fillId="0" borderId="0" xfId="0" applyFont="1" applyBorder="1" applyAlignment="1">
      <alignment vertical="center"/>
    </xf>
    <xf numFmtId="167" fontId="31" fillId="0" borderId="0" xfId="15" applyNumberFormat="1" applyFont="1" applyFill="1" applyBorder="1" applyAlignment="1">
      <alignment vertical="center"/>
    </xf>
    <xf numFmtId="167" fontId="31" fillId="0" borderId="0" xfId="15" applyNumberFormat="1" applyFont="1" applyBorder="1" applyAlignment="1">
      <alignment vertical="center"/>
    </xf>
    <xf numFmtId="0" fontId="3" fillId="0" borderId="0" xfId="0" applyFont="1" applyBorder="1" applyAlignment="1">
      <alignment horizontal="left" vertical="center"/>
    </xf>
    <xf numFmtId="167" fontId="4" fillId="0" borderId="0" xfId="15" applyNumberFormat="1" applyFont="1" applyBorder="1" applyAlignment="1">
      <alignment vertical="center"/>
    </xf>
    <xf numFmtId="10" fontId="4" fillId="0" borderId="0" xfId="24" applyNumberFormat="1" applyFont="1" applyAlignment="1">
      <alignment horizontal="center"/>
    </xf>
    <xf numFmtId="10" fontId="4" fillId="0" borderId="0" xfId="24" applyNumberFormat="1" applyFont="1" applyAlignment="1">
      <alignment/>
    </xf>
    <xf numFmtId="168" fontId="4" fillId="0" borderId="0" xfId="15" applyNumberFormat="1" applyFont="1" applyFill="1" applyBorder="1" applyAlignment="1">
      <alignment vertical="center"/>
    </xf>
    <xf numFmtId="167" fontId="4" fillId="0" borderId="0" xfId="15" applyNumberFormat="1" applyFont="1" applyFill="1" applyBorder="1" applyAlignment="1">
      <alignment vertical="center"/>
    </xf>
    <xf numFmtId="167" fontId="4" fillId="0" borderId="0" xfId="24" applyNumberFormat="1" applyFont="1" applyAlignment="1">
      <alignment horizontal="center"/>
    </xf>
    <xf numFmtId="167" fontId="4" fillId="0" borderId="0" xfId="0" applyNumberFormat="1" applyFont="1" applyAlignment="1">
      <alignment horizontal="center"/>
    </xf>
    <xf numFmtId="167" fontId="4" fillId="0" borderId="0" xfId="15" applyNumberFormat="1" applyFont="1" applyFill="1" applyBorder="1" applyAlignment="1">
      <alignment horizontal="right" vertical="center"/>
    </xf>
    <xf numFmtId="0" fontId="3" fillId="0" borderId="0" xfId="0" applyFont="1" applyBorder="1" applyAlignment="1">
      <alignment vertical="center"/>
    </xf>
    <xf numFmtId="0" fontId="3" fillId="0" borderId="0" xfId="0" applyFont="1" applyFill="1" applyBorder="1" applyAlignment="1">
      <alignment/>
    </xf>
    <xf numFmtId="203" fontId="3" fillId="0" borderId="0" xfId="0" applyNumberFormat="1" applyFont="1" applyBorder="1" applyAlignment="1">
      <alignment vertical="center"/>
    </xf>
    <xf numFmtId="203" fontId="32" fillId="0" borderId="0" xfId="15" applyNumberFormat="1" applyFont="1" applyBorder="1" applyAlignment="1">
      <alignment/>
    </xf>
    <xf numFmtId="167" fontId="32" fillId="0" borderId="0" xfId="15" applyNumberFormat="1" applyFont="1" applyBorder="1" applyAlignment="1">
      <alignment/>
    </xf>
    <xf numFmtId="0" fontId="4" fillId="0" borderId="0" xfId="0" applyFont="1" applyFill="1" applyBorder="1" applyAlignment="1">
      <alignment/>
    </xf>
    <xf numFmtId="167" fontId="3" fillId="0" borderId="0" xfId="15" applyNumberFormat="1" applyFont="1" applyBorder="1" applyAlignment="1">
      <alignment/>
    </xf>
    <xf numFmtId="167" fontId="33" fillId="0" borderId="0" xfId="15" applyNumberFormat="1" applyFont="1" applyBorder="1" applyAlignment="1">
      <alignment/>
    </xf>
    <xf numFmtId="167" fontId="33" fillId="0" borderId="0" xfId="15" applyNumberFormat="1" applyFont="1" applyAlignment="1">
      <alignment/>
    </xf>
    <xf numFmtId="0" fontId="30" fillId="0" borderId="0" xfId="0" applyFont="1" applyBorder="1" applyAlignment="1">
      <alignment horizontal="left"/>
    </xf>
    <xf numFmtId="0" fontId="4" fillId="0" borderId="0" xfId="0" applyFont="1" applyFill="1" applyBorder="1" applyAlignment="1">
      <alignment horizontal="left"/>
    </xf>
    <xf numFmtId="167" fontId="4" fillId="0" borderId="0" xfId="0" applyNumberFormat="1" applyFont="1" applyBorder="1" applyAlignment="1">
      <alignment/>
    </xf>
    <xf numFmtId="0" fontId="34" fillId="0" borderId="0" xfId="0" applyFont="1" applyFill="1" applyBorder="1" applyAlignment="1">
      <alignment horizontal="left"/>
    </xf>
    <xf numFmtId="0" fontId="4" fillId="0" borderId="0" xfId="0" applyFont="1" applyFill="1" applyBorder="1" applyAlignment="1">
      <alignment horizontal="center"/>
    </xf>
    <xf numFmtId="167" fontId="4" fillId="0" borderId="0" xfId="0" applyNumberFormat="1" applyFont="1" applyFill="1" applyBorder="1" applyAlignment="1">
      <alignment/>
    </xf>
    <xf numFmtId="169" fontId="4" fillId="0" borderId="3" xfId="0" applyNumberFormat="1" applyFont="1" applyBorder="1" applyAlignment="1">
      <alignment/>
    </xf>
    <xf numFmtId="0" fontId="1" fillId="0" borderId="0" xfId="0" applyFont="1" applyAlignment="1">
      <alignment horizontal="left" vertical="top" wrapText="1"/>
    </xf>
    <xf numFmtId="49" fontId="1" fillId="0" borderId="0" xfId="0" applyNumberFormat="1" applyFont="1" applyBorder="1" applyAlignment="1">
      <alignment horizontal="center"/>
    </xf>
    <xf numFmtId="169" fontId="1" fillId="0" borderId="4" xfId="0" applyNumberFormat="1" applyFont="1" applyBorder="1" applyAlignment="1">
      <alignment horizontal="right"/>
    </xf>
    <xf numFmtId="169" fontId="1" fillId="0" borderId="2" xfId="0" applyNumberFormat="1" applyFont="1" applyBorder="1" applyAlignment="1">
      <alignment/>
    </xf>
    <xf numFmtId="0" fontId="2" fillId="0" borderId="0" xfId="0" applyFont="1" applyAlignment="1" quotePrefix="1">
      <alignment wrapText="1"/>
    </xf>
    <xf numFmtId="0" fontId="2" fillId="0" borderId="0" xfId="0" applyFont="1" applyAlignment="1" quotePrefix="1">
      <alignment/>
    </xf>
    <xf numFmtId="169" fontId="1" fillId="0" borderId="4" xfId="24" applyNumberFormat="1" applyFont="1" applyBorder="1" applyAlignment="1">
      <alignment horizontal="right"/>
    </xf>
    <xf numFmtId="169" fontId="1" fillId="0" borderId="0" xfId="15" applyNumberFormat="1" applyFont="1" applyAlignment="1">
      <alignment horizontal="right"/>
    </xf>
    <xf numFmtId="169" fontId="1" fillId="0" borderId="2" xfId="15" applyNumberFormat="1" applyFont="1" applyBorder="1" applyAlignment="1">
      <alignment horizontal="right"/>
    </xf>
    <xf numFmtId="169" fontId="6" fillId="0" borderId="3" xfId="15" applyNumberFormat="1" applyFont="1" applyBorder="1" applyAlignment="1">
      <alignment horizontal="right"/>
    </xf>
    <xf numFmtId="9" fontId="4" fillId="0" borderId="3" xfId="0" applyNumberFormat="1" applyFont="1" applyBorder="1" applyAlignment="1">
      <alignment/>
    </xf>
    <xf numFmtId="0" fontId="3" fillId="0" borderId="2" xfId="0" applyFont="1" applyBorder="1" applyAlignment="1">
      <alignment wrapText="1"/>
    </xf>
    <xf numFmtId="0" fontId="3" fillId="0" borderId="2"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center" wrapText="1"/>
    </xf>
    <xf numFmtId="0" fontId="3" fillId="0" borderId="0" xfId="0" applyFont="1" applyBorder="1" applyAlignment="1">
      <alignment wrapText="1"/>
    </xf>
    <xf numFmtId="0" fontId="4" fillId="0" borderId="0" xfId="0" applyFont="1" applyAlignment="1">
      <alignment wrapText="1"/>
    </xf>
    <xf numFmtId="194" fontId="4" fillId="0" borderId="0" xfId="15" applyNumberFormat="1" applyFont="1" applyAlignment="1">
      <alignment/>
    </xf>
    <xf numFmtId="194" fontId="4" fillId="0" borderId="0" xfId="15" applyNumberFormat="1" applyFont="1" applyAlignment="1">
      <alignment horizontal="right"/>
    </xf>
    <xf numFmtId="194" fontId="3" fillId="0" borderId="3" xfId="15" applyNumberFormat="1" applyFont="1" applyBorder="1" applyAlignment="1">
      <alignment/>
    </xf>
    <xf numFmtId="44" fontId="3" fillId="0" borderId="0" xfId="17" applyFont="1" applyBorder="1" applyAlignment="1">
      <alignment horizontal="right"/>
    </xf>
    <xf numFmtId="194" fontId="3" fillId="0" borderId="0" xfId="15" applyNumberFormat="1" applyFont="1" applyAlignment="1">
      <alignment horizontal="right"/>
    </xf>
    <xf numFmtId="168" fontId="8" fillId="0" borderId="0" xfId="17" applyNumberFormat="1" applyFont="1" applyFill="1" applyAlignment="1">
      <alignment/>
    </xf>
    <xf numFmtId="0" fontId="18" fillId="0" borderId="0" xfId="0" applyFont="1" applyAlignment="1">
      <alignment wrapText="1"/>
    </xf>
    <xf numFmtId="0" fontId="4" fillId="0" borderId="0" xfId="0" applyFont="1" applyAlignment="1">
      <alignment horizontal="left" vertical="top" wrapText="1"/>
    </xf>
    <xf numFmtId="0" fontId="2" fillId="0" borderId="0" xfId="0" applyFont="1" applyAlignment="1" quotePrefix="1">
      <alignment horizontal="left" vertical="top" wrapText="1"/>
    </xf>
    <xf numFmtId="0" fontId="4" fillId="0" borderId="0" xfId="0" applyFont="1" applyBorder="1" applyAlignment="1">
      <alignment/>
    </xf>
    <xf numFmtId="0" fontId="2" fillId="0" borderId="0" xfId="0" applyFont="1" applyBorder="1" applyAlignment="1">
      <alignment/>
    </xf>
    <xf numFmtId="168" fontId="2" fillId="0" borderId="0" xfId="17" applyNumberFormat="1" applyFont="1" applyBorder="1" applyAlignment="1">
      <alignment/>
    </xf>
    <xf numFmtId="0" fontId="14" fillId="0" borderId="0" xfId="0" applyFont="1" applyAlignment="1">
      <alignment horizontal="center"/>
    </xf>
    <xf numFmtId="0" fontId="5" fillId="0" borderId="0" xfId="0" applyFont="1" applyBorder="1" applyAlignment="1">
      <alignment horizontal="center"/>
    </xf>
    <xf numFmtId="167" fontId="1" fillId="0" borderId="4" xfId="17" applyNumberFormat="1" applyFont="1" applyBorder="1" applyAlignment="1">
      <alignment/>
    </xf>
    <xf numFmtId="167" fontId="1" fillId="0" borderId="0" xfId="17" applyNumberFormat="1" applyFont="1" applyAlignment="1">
      <alignment/>
    </xf>
    <xf numFmtId="168" fontId="3" fillId="0" borderId="7" xfId="15" applyNumberFormat="1" applyFont="1" applyBorder="1" applyAlignment="1">
      <alignment vertical="center"/>
    </xf>
    <xf numFmtId="167" fontId="4" fillId="0" borderId="2" xfId="15" applyNumberFormat="1" applyFont="1" applyFill="1" applyBorder="1" applyAlignment="1">
      <alignment vertical="center"/>
    </xf>
    <xf numFmtId="41" fontId="2" fillId="0" borderId="0" xfId="0" applyNumberFormat="1" applyFont="1" applyBorder="1" applyAlignment="1">
      <alignment/>
    </xf>
    <xf numFmtId="0" fontId="14" fillId="0" borderId="0" xfId="0" applyFont="1" applyAlignment="1">
      <alignment/>
    </xf>
    <xf numFmtId="0" fontId="2" fillId="0" borderId="0" xfId="0" applyFont="1" applyFill="1" applyAlignment="1" quotePrefix="1">
      <alignment wrapText="1"/>
    </xf>
    <xf numFmtId="49" fontId="24" fillId="0" borderId="0" xfId="0" applyNumberFormat="1" applyFont="1" applyBorder="1" applyAlignment="1">
      <alignment horizontal="center"/>
    </xf>
    <xf numFmtId="0" fontId="23" fillId="0" borderId="0" xfId="0" applyFont="1" applyBorder="1" applyAlignment="1">
      <alignment/>
    </xf>
    <xf numFmtId="0" fontId="24" fillId="0" borderId="2" xfId="0" applyFont="1" applyBorder="1" applyAlignment="1">
      <alignment horizontal="center"/>
    </xf>
    <xf numFmtId="0" fontId="24" fillId="0" borderId="0" xfId="0" applyFont="1" applyBorder="1" applyAlignment="1">
      <alignment horizontal="center"/>
    </xf>
    <xf numFmtId="192" fontId="24" fillId="0" borderId="0" xfId="0" applyNumberFormat="1" applyFont="1" applyBorder="1" applyAlignment="1" quotePrefix="1">
      <alignment horizontal="center"/>
    </xf>
    <xf numFmtId="192" fontId="24" fillId="0" borderId="0" xfId="0" applyNumberFormat="1" applyFont="1" applyBorder="1" applyAlignment="1">
      <alignment horizontal="center"/>
    </xf>
    <xf numFmtId="169" fontId="23" fillId="0" borderId="0" xfId="0" applyNumberFormat="1" applyFont="1" applyBorder="1" applyAlignment="1">
      <alignment/>
    </xf>
    <xf numFmtId="167" fontId="23" fillId="0" borderId="0" xfId="15" applyNumberFormat="1" applyFont="1" applyBorder="1" applyAlignment="1">
      <alignment/>
    </xf>
    <xf numFmtId="10" fontId="23" fillId="0" borderId="0" xfId="0" applyNumberFormat="1" applyFont="1" applyBorder="1" applyAlignment="1">
      <alignment/>
    </xf>
    <xf numFmtId="169" fontId="23" fillId="0" borderId="0" xfId="24" applyNumberFormat="1" applyFont="1" applyBorder="1" applyAlignment="1">
      <alignment/>
    </xf>
    <xf numFmtId="192" fontId="24" fillId="0" borderId="2" xfId="0" applyNumberFormat="1" applyFont="1" applyBorder="1" applyAlignment="1">
      <alignment horizontal="center"/>
    </xf>
    <xf numFmtId="15" fontId="3" fillId="0" borderId="2" xfId="0" applyNumberFormat="1" applyFont="1" applyBorder="1" applyAlignment="1" quotePrefix="1">
      <alignment horizontal="center"/>
    </xf>
    <xf numFmtId="0" fontId="8" fillId="0" borderId="0" xfId="0" applyFont="1" applyAlignment="1">
      <alignment horizontal="justify" vertical="justify" wrapText="1"/>
    </xf>
    <xf numFmtId="0" fontId="1" fillId="0" borderId="0" xfId="0" applyFont="1" applyAlignment="1">
      <alignment horizontal="left" wrapText="1"/>
    </xf>
    <xf numFmtId="0" fontId="2" fillId="0" borderId="0" xfId="0" applyFont="1" applyAlignment="1">
      <alignment horizontal="left" wrapText="1" indent="1"/>
    </xf>
    <xf numFmtId="0" fontId="2" fillId="0" borderId="0" xfId="0" applyFont="1" applyAlignment="1">
      <alignment horizontal="left" vertical="justify" wrapText="1" indent="1"/>
    </xf>
    <xf numFmtId="0" fontId="1" fillId="0" borderId="0" xfId="0" applyFont="1" applyAlignment="1">
      <alignment horizontal="left" vertical="top" wrapText="1"/>
    </xf>
    <xf numFmtId="0" fontId="1" fillId="0" borderId="0" xfId="0" applyFont="1" applyAlignment="1">
      <alignment horizontal="left" vertical="justify" wrapText="1"/>
    </xf>
    <xf numFmtId="0" fontId="20" fillId="0" borderId="0" xfId="0" applyFont="1" applyAlignment="1">
      <alignment horizontal="center" vertical="top" wrapText="1"/>
    </xf>
    <xf numFmtId="0" fontId="1" fillId="0" borderId="0" xfId="0" applyFont="1" applyAlignment="1">
      <alignment horizontal="justify" vertical="justify" wrapText="1"/>
    </xf>
    <xf numFmtId="0" fontId="5" fillId="0" borderId="0" xfId="0" applyFont="1" applyAlignment="1">
      <alignment horizontal="center"/>
    </xf>
    <xf numFmtId="0" fontId="19" fillId="0" borderId="0" xfId="0" applyFont="1" applyAlignment="1">
      <alignment horizontal="center"/>
    </xf>
    <xf numFmtId="0" fontId="3" fillId="0" borderId="0" xfId="0" applyFont="1" applyAlignment="1">
      <alignment horizontal="center"/>
    </xf>
    <xf numFmtId="0" fontId="1" fillId="0" borderId="0" xfId="0" applyFont="1" applyAlignment="1">
      <alignment horizontal="justify" wrapText="1"/>
    </xf>
    <xf numFmtId="15" fontId="5" fillId="0" borderId="0" xfId="0" applyNumberFormat="1" applyFont="1" applyAlignment="1" quotePrefix="1">
      <alignment horizontal="center"/>
    </xf>
    <xf numFmtId="0" fontId="5" fillId="0" borderId="0" xfId="17" applyNumberFormat="1" applyFont="1" applyAlignment="1">
      <alignment horizontal="center"/>
    </xf>
    <xf numFmtId="0" fontId="6" fillId="0" borderId="0" xfId="0" applyFont="1" applyAlignment="1">
      <alignment horizontal="left" wrapText="1"/>
    </xf>
    <xf numFmtId="49" fontId="15" fillId="0" borderId="0" xfId="0" applyNumberFormat="1" applyFont="1" applyAlignment="1">
      <alignment horizontal="center"/>
    </xf>
    <xf numFmtId="0" fontId="15" fillId="0" borderId="0" xfId="0" applyFont="1" applyAlignment="1">
      <alignment horizontal="center"/>
    </xf>
    <xf numFmtId="49" fontId="15" fillId="0" borderId="0" xfId="0" applyNumberFormat="1" applyFont="1" applyAlignment="1" quotePrefix="1">
      <alignment horizontal="center"/>
    </xf>
    <xf numFmtId="0" fontId="14" fillId="0" borderId="0" xfId="0" applyFont="1" applyAlignment="1">
      <alignment horizontal="center"/>
    </xf>
    <xf numFmtId="0" fontId="5" fillId="0" borderId="0" xfId="0" applyFont="1" applyBorder="1" applyAlignment="1">
      <alignment horizontal="center"/>
    </xf>
  </cellXfs>
  <cellStyles count="18">
    <cellStyle name="Normal" xfId="0"/>
    <cellStyle name="Comma" xfId="15"/>
    <cellStyle name="Comma [0]" xfId="16"/>
    <cellStyle name="Currency" xfId="17"/>
    <cellStyle name="Currency [0]" xfId="18"/>
    <cellStyle name="Followed Hyperlink" xfId="19"/>
    <cellStyle name="Hyperlink" xfId="20"/>
    <cellStyle name="Number0DecimalStyle" xfId="21"/>
    <cellStyle name="Number2DecimalStyle" xfId="22"/>
    <cellStyle name="Number4DecimalStyle" xfId="23"/>
    <cellStyle name="Percent" xfId="24"/>
    <cellStyle name="PSChar" xfId="25"/>
    <cellStyle name="PSDate" xfId="26"/>
    <cellStyle name="PSDec" xfId="27"/>
    <cellStyle name="PSHeading" xfId="28"/>
    <cellStyle name="PSInt" xfId="29"/>
    <cellStyle name="PSSpacer" xfId="30"/>
    <cellStyle name="TextStyle"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externalLink" Target="externalLinks/externalLink2.xml" /><Relationship Id="rId52" Type="http://schemas.openxmlformats.org/officeDocument/2006/relationships/externalLink" Target="externalLinks/externalLink3.xml" /><Relationship Id="rId53" Type="http://schemas.openxmlformats.org/officeDocument/2006/relationships/externalLink" Target="externalLinks/externalLink4.xml" /><Relationship Id="rId54" Type="http://schemas.openxmlformats.org/officeDocument/2006/relationships/externalLink" Target="externalLinks/externalLink5.xml" /><Relationship Id="rId5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304800</xdr:colOff>
      <xdr:row>48</xdr:row>
      <xdr:rowOff>0</xdr:rowOff>
    </xdr:to>
    <xdr:pic>
      <xdr:nvPicPr>
        <xdr:cNvPr id="1" name="Picture 1"/>
        <xdr:cNvPicPr preferRelativeResize="1">
          <a:picLocks noChangeAspect="1"/>
        </xdr:cNvPicPr>
      </xdr:nvPicPr>
      <xdr:blipFill>
        <a:blip r:embed="rId1"/>
        <a:stretch>
          <a:fillRect/>
        </a:stretch>
      </xdr:blipFill>
      <xdr:spPr>
        <a:xfrm>
          <a:off x="0" y="0"/>
          <a:ext cx="10058400" cy="777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2%204Q\CDO%20POrtfolio\Financial%20Supplement%20Template%20-%20back%20u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Dept%20-%20Investments\INVEST\SHARED\REPORTS\Structured%20Portfolios\2001%20Q2\_Dept%20-%20Investments\INVEST\SHARED\Analysis_Structured%20Portfolios\In%20progress\CSFS%20blende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XL%20Russell%20Fixed%20Quarterly%20Reporting%202Q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EMP\Summary_Report_Oct19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am%20B\Client\XL%20Capital\Quarterly\Performance%20Drivers\XL%20Russell%20Equity%20Qrtly%20Reporting%201Q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DO working 4Q 02"/>
      <sheetName val="Collateral"/>
      <sheetName val="CDO - S&amp;P Rating"/>
      <sheetName val="CDO - Internal Rating"/>
      <sheetName val="Synthetic"/>
      <sheetName val="Portfolio Working 4Q 02"/>
      <sheetName val="Region"/>
      <sheetName val="Sector"/>
      <sheetName val="S&amp;P Rating"/>
      <sheetName val="Internal Rating"/>
    </sheetNames>
    <sheetDataSet>
      <sheetData sheetId="2">
        <row r="25">
          <cell r="B25">
            <v>6986845115.197187</v>
          </cell>
        </row>
        <row r="26">
          <cell r="B26">
            <v>2528219415.9302</v>
          </cell>
        </row>
        <row r="27">
          <cell r="B27">
            <v>838133127</v>
          </cell>
        </row>
        <row r="28">
          <cell r="B28">
            <v>1637261162</v>
          </cell>
        </row>
        <row r="29">
          <cell r="B29">
            <v>157979986</v>
          </cell>
        </row>
      </sheetData>
      <sheetData sheetId="6">
        <row r="30">
          <cell r="B30">
            <v>28383409787.838856</v>
          </cell>
          <cell r="D30">
            <v>16720969318.17</v>
          </cell>
        </row>
        <row r="31">
          <cell r="B31">
            <v>1697046319.6791625</v>
          </cell>
          <cell r="D31">
            <v>1241232396</v>
          </cell>
        </row>
        <row r="32">
          <cell r="B32">
            <v>1178537439.2422028</v>
          </cell>
          <cell r="D32">
            <v>339999999.5</v>
          </cell>
        </row>
        <row r="33">
          <cell r="B33">
            <v>1097356107</v>
          </cell>
          <cell r="D33">
            <v>582885445</v>
          </cell>
        </row>
        <row r="34">
          <cell r="B34">
            <v>780612120</v>
          </cell>
          <cell r="D34">
            <v>710306180.29</v>
          </cell>
        </row>
        <row r="35">
          <cell r="B35">
            <v>3279522822.2397804</v>
          </cell>
          <cell r="D35">
            <v>1725613387.3042603</v>
          </cell>
        </row>
      </sheetData>
      <sheetData sheetId="7">
        <row r="25">
          <cell r="C25">
            <v>12148438806.127388</v>
          </cell>
          <cell r="E25">
            <v>10237366660</v>
          </cell>
        </row>
        <row r="26">
          <cell r="C26">
            <v>9845006841.166239</v>
          </cell>
          <cell r="E26">
            <v>4218417554</v>
          </cell>
        </row>
        <row r="27">
          <cell r="C27">
            <v>8240066587.577037</v>
          </cell>
          <cell r="E27">
            <v>3088756370.9622602</v>
          </cell>
        </row>
        <row r="28">
          <cell r="C28">
            <v>5022563140.295871</v>
          </cell>
          <cell r="E28">
            <v>2694934185.302</v>
          </cell>
        </row>
        <row r="29">
          <cell r="C29">
            <v>742812510.6948</v>
          </cell>
          <cell r="E29">
            <v>1026287042</v>
          </cell>
        </row>
        <row r="30">
          <cell r="C30">
            <v>417596710</v>
          </cell>
          <cell r="E30">
            <v>55244914</v>
          </cell>
        </row>
      </sheetData>
      <sheetData sheetId="8">
        <row r="4">
          <cell r="J4">
            <v>6126154225</v>
          </cell>
        </row>
        <row r="5">
          <cell r="H5">
            <v>4044244211.445417</v>
          </cell>
          <cell r="J5">
            <v>2919042364</v>
          </cell>
        </row>
        <row r="6">
          <cell r="H6">
            <v>9354336517.960163</v>
          </cell>
          <cell r="J6">
            <v>4663887865</v>
          </cell>
        </row>
        <row r="7">
          <cell r="H7">
            <v>12434295835.045069</v>
          </cell>
          <cell r="J7">
            <v>7203299472.26426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F"/>
      <sheetName val="Graph"/>
      <sheetName val="Invt (1)"/>
      <sheetName val="Invt"/>
      <sheetName val="Blender"/>
      <sheetName val="Fixed"/>
      <sheetName val="Fixed (2)"/>
      <sheetName val="Returnsim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file Data"/>
      <sheetName val="Quality Score"/>
      <sheetName val="Fixed Performance Drivers"/>
      <sheetName val="Fixed Benchmark Profile"/>
      <sheetName val="Index Information"/>
      <sheetName val="Contacts"/>
      <sheetName val="fxd returns 6-30-00"/>
    </sheetNames>
    <sheetDataSet>
      <sheetData sheetId="1">
        <row r="3">
          <cell r="D3" t="str">
            <v>Aaa++</v>
          </cell>
          <cell r="E3">
            <v>1</v>
          </cell>
        </row>
        <row r="4">
          <cell r="D4" t="str">
            <v>Aaa+ </v>
          </cell>
          <cell r="E4">
            <v>2</v>
          </cell>
        </row>
        <row r="5">
          <cell r="D5" t="str">
            <v>Aaa</v>
          </cell>
          <cell r="E5">
            <v>3</v>
          </cell>
        </row>
        <row r="6">
          <cell r="D6" t="str">
            <v>Aa1</v>
          </cell>
          <cell r="E6">
            <v>4</v>
          </cell>
        </row>
        <row r="7">
          <cell r="D7" t="str">
            <v>Aa2</v>
          </cell>
          <cell r="E7">
            <v>5</v>
          </cell>
        </row>
        <row r="8">
          <cell r="D8" t="str">
            <v>Aa3</v>
          </cell>
          <cell r="E8">
            <v>6</v>
          </cell>
        </row>
        <row r="9">
          <cell r="D9" t="str">
            <v>A1</v>
          </cell>
          <cell r="E9">
            <v>7</v>
          </cell>
        </row>
        <row r="10">
          <cell r="D10" t="str">
            <v>A2</v>
          </cell>
          <cell r="E10">
            <v>8</v>
          </cell>
        </row>
        <row r="11">
          <cell r="D11" t="str">
            <v>A3</v>
          </cell>
          <cell r="E11">
            <v>9</v>
          </cell>
        </row>
        <row r="12">
          <cell r="D12" t="str">
            <v>Baa1</v>
          </cell>
          <cell r="E12">
            <v>10</v>
          </cell>
        </row>
        <row r="13">
          <cell r="D13" t="str">
            <v>Baa2</v>
          </cell>
          <cell r="E13">
            <v>11</v>
          </cell>
        </row>
        <row r="14">
          <cell r="D14" t="str">
            <v>Baa3</v>
          </cell>
          <cell r="E14">
            <v>12</v>
          </cell>
        </row>
        <row r="15">
          <cell r="D15" t="str">
            <v>Ba1</v>
          </cell>
          <cell r="E15">
            <v>13</v>
          </cell>
        </row>
        <row r="16">
          <cell r="D16" t="str">
            <v>Ba2</v>
          </cell>
          <cell r="E16">
            <v>14</v>
          </cell>
        </row>
        <row r="17">
          <cell r="D17" t="str">
            <v>Ba3</v>
          </cell>
          <cell r="E17">
            <v>15</v>
          </cell>
        </row>
        <row r="18">
          <cell r="D18" t="str">
            <v>B1</v>
          </cell>
          <cell r="E18">
            <v>16</v>
          </cell>
        </row>
        <row r="19">
          <cell r="D19" t="str">
            <v>B2</v>
          </cell>
          <cell r="E19">
            <v>17</v>
          </cell>
        </row>
        <row r="20">
          <cell r="D20" t="str">
            <v>B3</v>
          </cell>
          <cell r="E20">
            <v>18</v>
          </cell>
        </row>
        <row r="21">
          <cell r="D21" t="str">
            <v>Caa1</v>
          </cell>
          <cell r="E21">
            <v>19</v>
          </cell>
        </row>
        <row r="22">
          <cell r="D22" t="str">
            <v>Caa2</v>
          </cell>
          <cell r="E22">
            <v>20</v>
          </cell>
        </row>
        <row r="23">
          <cell r="D23" t="str">
            <v>Caa3</v>
          </cell>
          <cell r="E23">
            <v>21</v>
          </cell>
        </row>
        <row r="24">
          <cell r="D24" t="str">
            <v>Ca</v>
          </cell>
          <cell r="E24">
            <v>23</v>
          </cell>
        </row>
        <row r="25">
          <cell r="D25" t="str">
            <v>C</v>
          </cell>
          <cell r="E25">
            <v>26</v>
          </cell>
        </row>
        <row r="26">
          <cell r="D26" t="str">
            <v>D</v>
          </cell>
          <cell r="E26">
            <v>29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2.1 FI US"/>
      <sheetName val="2.2 FI Global"/>
      <sheetName val="2.3 FI Global"/>
      <sheetName val="03 Emerg Mkts"/>
      <sheetName val="04 Currency Hdg"/>
      <sheetName val="05 Deriv Exp US"/>
      <sheetName val="05 Deriv Exp Global"/>
      <sheetName val="Code_Summary_850"/>
      <sheetName val="Code_Summary_950"/>
      <sheetName val="bum_country_data_950"/>
      <sheetName val="Query"/>
      <sheetName val="pi0344_850"/>
      <sheetName val="pi0344_950"/>
      <sheetName val="#pi0324_850"/>
      <sheetName val="#pi0324_950"/>
      <sheetName val="2.1 FI US (prior)"/>
      <sheetName val="2.2 FI Global (prior)"/>
      <sheetName val="2.3 FI Global (prio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quity Performance Drivers"/>
      <sheetName val="Equity Portfolio Characteristic"/>
      <sheetName val="EPD data"/>
      <sheetName val="sector mix"/>
      <sheetName val="index returns 3-31-01"/>
      <sheetName val="USEQPERFDRIVERS"/>
      <sheetName val="NONUSEQPERFDRIVERS"/>
      <sheetName val="NONUSEQCOUNTRY"/>
      <sheetName val="instructions"/>
      <sheetName val="new equity comp"/>
      <sheetName val="CompositeReturns"/>
    </sheetNames>
    <sheetDataSet>
      <sheetData sheetId="5">
        <row r="5">
          <cell r="A5" t="str">
            <v>YYYYMM</v>
          </cell>
          <cell r="B5">
            <v>200103</v>
          </cell>
          <cell r="C5">
            <v>200103</v>
          </cell>
        </row>
        <row r="6">
          <cell r="A6" t="str">
            <v>PORTFOLIO NUM</v>
          </cell>
          <cell r="B6">
            <v>1993006</v>
          </cell>
          <cell r="C6">
            <v>7376000</v>
          </cell>
        </row>
        <row r="7">
          <cell r="A7" t="str">
            <v>TECH PC</v>
          </cell>
          <cell r="B7">
            <v>16.2</v>
          </cell>
          <cell r="C7">
            <v>9.8</v>
          </cell>
        </row>
        <row r="8">
          <cell r="A8" t="str">
            <v>HEALTH PC</v>
          </cell>
          <cell r="B8">
            <v>14.2</v>
          </cell>
          <cell r="C8">
            <v>13.7</v>
          </cell>
        </row>
        <row r="9">
          <cell r="A9" t="str">
            <v>CONS DISC PC</v>
          </cell>
          <cell r="B9">
            <v>12.3</v>
          </cell>
          <cell r="C9">
            <v>14.7</v>
          </cell>
        </row>
        <row r="10">
          <cell r="A10" t="str">
            <v>CONS STAP PC</v>
          </cell>
          <cell r="B10">
            <v>6.5</v>
          </cell>
          <cell r="C10">
            <v>4.7</v>
          </cell>
        </row>
        <row r="11">
          <cell r="A11" t="str">
            <v>INT OIL PC</v>
          </cell>
          <cell r="B11">
            <v>3.9</v>
          </cell>
          <cell r="C11">
            <v>2.4</v>
          </cell>
        </row>
        <row r="12">
          <cell r="A12" t="str">
            <v>OTH ENERGY PC</v>
          </cell>
          <cell r="B12">
            <v>2.8</v>
          </cell>
          <cell r="C12">
            <v>5.6</v>
          </cell>
        </row>
        <row r="13">
          <cell r="A13" t="str">
            <v>MAT PROC PC</v>
          </cell>
          <cell r="B13">
            <v>3.1</v>
          </cell>
          <cell r="C13">
            <v>5.7</v>
          </cell>
        </row>
        <row r="14">
          <cell r="A14" t="str">
            <v>PROD DUR PC</v>
          </cell>
          <cell r="B14">
            <v>3.4</v>
          </cell>
          <cell r="C14">
            <v>6.5</v>
          </cell>
        </row>
        <row r="15">
          <cell r="A15" t="str">
            <v>AUTO TRAN PC</v>
          </cell>
          <cell r="B15">
            <v>2.2</v>
          </cell>
          <cell r="C15">
            <v>2.8</v>
          </cell>
        </row>
        <row r="16">
          <cell r="A16" t="str">
            <v>FIN SVC PC</v>
          </cell>
          <cell r="B16">
            <v>20.5</v>
          </cell>
          <cell r="C16">
            <v>22.9</v>
          </cell>
        </row>
        <row r="17">
          <cell r="A17" t="str">
            <v>UTIL PC</v>
          </cell>
          <cell r="B17">
            <v>9.8</v>
          </cell>
          <cell r="C17">
            <v>8.2</v>
          </cell>
        </row>
        <row r="18">
          <cell r="A18" t="str">
            <v>OTHER SECT PC</v>
          </cell>
          <cell r="B18">
            <v>5</v>
          </cell>
          <cell r="C18">
            <v>3</v>
          </cell>
        </row>
        <row r="19">
          <cell r="A19" t="str">
            <v>CAP NLOG WTD AVG</v>
          </cell>
          <cell r="B19">
            <v>30.21</v>
          </cell>
          <cell r="C19">
            <v>5.51</v>
          </cell>
        </row>
        <row r="20">
          <cell r="A20" t="str">
            <v>NUM HOLDINGS</v>
          </cell>
          <cell r="B20">
            <v>2807</v>
          </cell>
          <cell r="C20">
            <v>1040</v>
          </cell>
        </row>
        <row r="21">
          <cell r="A21" t="str">
            <v>PE</v>
          </cell>
          <cell r="B21">
            <v>23.6</v>
          </cell>
          <cell r="C21">
            <v>18.2</v>
          </cell>
        </row>
        <row r="22">
          <cell r="A22" t="str">
            <v>DIV YIELD</v>
          </cell>
          <cell r="B22">
            <v>1.38</v>
          </cell>
          <cell r="C22">
            <v>1.45</v>
          </cell>
        </row>
        <row r="23">
          <cell r="A23" t="str">
            <v>PB</v>
          </cell>
          <cell r="B23">
            <v>3.54</v>
          </cell>
          <cell r="C23">
            <v>2.52</v>
          </cell>
        </row>
        <row r="24">
          <cell r="A24" t="str">
            <v>TOTAL MV</v>
          </cell>
          <cell r="B24">
            <v>11240.3</v>
          </cell>
          <cell r="C24">
            <v>343.1</v>
          </cell>
        </row>
        <row r="25">
          <cell r="A25" t="str">
            <v>US EQ MV</v>
          </cell>
          <cell r="B25">
            <v>11240.3</v>
          </cell>
          <cell r="C25">
            <v>313.3</v>
          </cell>
        </row>
        <row r="26">
          <cell r="A26" t="str">
            <v>NON US EQ MV</v>
          </cell>
          <cell r="B26">
            <v>0</v>
          </cell>
          <cell r="C26">
            <v>3.8</v>
          </cell>
        </row>
        <row r="27">
          <cell r="A27" t="str">
            <v>SIZE SMALL PC</v>
          </cell>
          <cell r="B27">
            <v>5.6</v>
          </cell>
          <cell r="C27">
            <v>28.5</v>
          </cell>
        </row>
        <row r="28">
          <cell r="A28" t="str">
            <v>SIZE MS PC</v>
          </cell>
          <cell r="B28">
            <v>7.5</v>
          </cell>
          <cell r="C28">
            <v>20.4</v>
          </cell>
        </row>
        <row r="29">
          <cell r="A29" t="str">
            <v>PB Q5 PC</v>
          </cell>
          <cell r="B29">
            <v>19.8</v>
          </cell>
          <cell r="C29">
            <v>39.7</v>
          </cell>
        </row>
        <row r="30">
          <cell r="A30" t="str">
            <v>PB Q4 PC</v>
          </cell>
          <cell r="B30">
            <v>20.1</v>
          </cell>
          <cell r="C30">
            <v>19.2</v>
          </cell>
        </row>
        <row r="31">
          <cell r="A31" t="str">
            <v>PB Q3 PC</v>
          </cell>
          <cell r="B31">
            <v>19.9</v>
          </cell>
          <cell r="C31">
            <v>14.6</v>
          </cell>
        </row>
      </sheetData>
      <sheetData sheetId="6">
        <row r="5">
          <cell r="A5" t="str">
            <v>YYYYMM</v>
          </cell>
          <cell r="B5">
            <v>200103</v>
          </cell>
          <cell r="C5">
            <v>200103</v>
          </cell>
        </row>
        <row r="6">
          <cell r="A6" t="str">
            <v>PROFILE ID</v>
          </cell>
          <cell r="B6">
            <v>5708</v>
          </cell>
          <cell r="C6" t="str">
            <v>PM43</v>
          </cell>
        </row>
        <row r="7">
          <cell r="A7" t="str">
            <v>TOTAL MV</v>
          </cell>
          <cell r="B7">
            <v>7721123620800</v>
          </cell>
          <cell r="C7">
            <v>178899999.999</v>
          </cell>
        </row>
        <row r="8">
          <cell r="A8" t="str">
            <v>EQUITY MV</v>
          </cell>
          <cell r="B8">
            <v>7707016458800</v>
          </cell>
          <cell r="C8">
            <v>170506735.138</v>
          </cell>
        </row>
        <row r="9">
          <cell r="A9" t="str">
            <v>TECH PCT</v>
          </cell>
          <cell r="B9">
            <v>10.326</v>
          </cell>
          <cell r="C9">
            <v>8.582</v>
          </cell>
        </row>
        <row r="10">
          <cell r="A10" t="str">
            <v>HEALTH PCT</v>
          </cell>
          <cell r="B10">
            <v>8.385</v>
          </cell>
          <cell r="C10">
            <v>10.892</v>
          </cell>
        </row>
        <row r="11">
          <cell r="A11" t="str">
            <v>CONS DISC PCT</v>
          </cell>
          <cell r="B11">
            <v>9.581</v>
          </cell>
          <cell r="C11">
            <v>13.577</v>
          </cell>
        </row>
        <row r="12">
          <cell r="A12" t="str">
            <v>CONS STAP PCT</v>
          </cell>
          <cell r="B12">
            <v>7.307</v>
          </cell>
          <cell r="C12">
            <v>7.307</v>
          </cell>
        </row>
        <row r="13">
          <cell r="A13" t="str">
            <v>INT OIL PCT</v>
          </cell>
          <cell r="B13">
            <v>5.75</v>
          </cell>
          <cell r="C13">
            <v>4.016</v>
          </cell>
        </row>
        <row r="14">
          <cell r="A14" t="str">
            <v>OTH ENERGY PCT</v>
          </cell>
          <cell r="B14">
            <v>0.955</v>
          </cell>
          <cell r="C14">
            <v>1.022</v>
          </cell>
        </row>
        <row r="15">
          <cell r="A15" t="str">
            <v>MAT PROC PCT</v>
          </cell>
          <cell r="B15">
            <v>8.801</v>
          </cell>
          <cell r="C15">
            <v>15.323</v>
          </cell>
        </row>
        <row r="16">
          <cell r="A16" t="str">
            <v>PROD DUR PCT</v>
          </cell>
          <cell r="B16">
            <v>3.123</v>
          </cell>
          <cell r="C16">
            <v>6.76</v>
          </cell>
        </row>
        <row r="17">
          <cell r="A17" t="str">
            <v>AUTO TRAN PCT</v>
          </cell>
          <cell r="B17">
            <v>6.379</v>
          </cell>
          <cell r="C17">
            <v>5.801</v>
          </cell>
        </row>
        <row r="18">
          <cell r="A18" t="str">
            <v>FIN SVC PCT</v>
          </cell>
          <cell r="B18">
            <v>23.906</v>
          </cell>
          <cell r="C18">
            <v>19.345</v>
          </cell>
        </row>
        <row r="19">
          <cell r="A19" t="str">
            <v>UTIL PCT</v>
          </cell>
          <cell r="B19">
            <v>13.173</v>
          </cell>
          <cell r="C19">
            <v>6.376</v>
          </cell>
        </row>
        <row r="20">
          <cell r="A20" t="str">
            <v>OTHER SECT PCT</v>
          </cell>
          <cell r="B20">
            <v>2.313</v>
          </cell>
          <cell r="C20">
            <v>1.001</v>
          </cell>
        </row>
        <row r="21">
          <cell r="A21" t="str">
            <v>SIZE LG PCT</v>
          </cell>
          <cell r="B21">
            <v>36.929</v>
          </cell>
          <cell r="C21">
            <v>23.765</v>
          </cell>
        </row>
        <row r="22">
          <cell r="A22" t="str">
            <v>SIZE ML PCT</v>
          </cell>
          <cell r="B22">
            <v>31.22</v>
          </cell>
          <cell r="C22">
            <v>26.461</v>
          </cell>
        </row>
        <row r="23">
          <cell r="A23" t="str">
            <v>SIZE MED PCT</v>
          </cell>
          <cell r="B23">
            <v>16.856</v>
          </cell>
          <cell r="C23">
            <v>23.647</v>
          </cell>
        </row>
        <row r="24">
          <cell r="A24" t="str">
            <v>SIZE MS PCT</v>
          </cell>
          <cell r="B24">
            <v>9.271</v>
          </cell>
          <cell r="C24">
            <v>15.637</v>
          </cell>
        </row>
        <row r="25">
          <cell r="A25" t="str">
            <v>SIZE SMALL PCT</v>
          </cell>
          <cell r="B25">
            <v>3.167</v>
          </cell>
          <cell r="C25">
            <v>8.013</v>
          </cell>
        </row>
        <row r="26">
          <cell r="A26" t="str">
            <v>CAP NLOG WTD AVG</v>
          </cell>
          <cell r="B26">
            <v>23.091</v>
          </cell>
          <cell r="C26">
            <v>12.801</v>
          </cell>
        </row>
        <row r="27">
          <cell r="A27" t="str">
            <v>NUM HOLDINGS</v>
          </cell>
          <cell r="B27">
            <v>910</v>
          </cell>
          <cell r="C27">
            <v>448</v>
          </cell>
        </row>
        <row r="28">
          <cell r="A28" t="str">
            <v>PE</v>
          </cell>
          <cell r="B28">
            <v>20.509</v>
          </cell>
          <cell r="C28">
            <v>20.266</v>
          </cell>
        </row>
        <row r="29">
          <cell r="A29" t="str">
            <v>DIV YIELD</v>
          </cell>
          <cell r="B29">
            <v>1.821</v>
          </cell>
          <cell r="C29">
            <v>1.834</v>
          </cell>
        </row>
        <row r="30">
          <cell r="A30" t="str">
            <v>PB</v>
          </cell>
          <cell r="B30">
            <v>2.433</v>
          </cell>
          <cell r="C30">
            <v>2.235</v>
          </cell>
        </row>
        <row r="31">
          <cell r="A31" t="str">
            <v>TOTAL MV</v>
          </cell>
          <cell r="B31">
            <v>7721123620800</v>
          </cell>
          <cell r="C31">
            <v>178899999.999</v>
          </cell>
        </row>
        <row r="32">
          <cell r="A32" t="str">
            <v>EQUITY MV</v>
          </cell>
          <cell r="B32">
            <v>7707016458800</v>
          </cell>
          <cell r="C32">
            <v>170506735.138</v>
          </cell>
        </row>
        <row r="33">
          <cell r="A33" t="str">
            <v>EQUITY PCT</v>
          </cell>
          <cell r="B33">
            <v>99.817</v>
          </cell>
          <cell r="C33">
            <v>95.308</v>
          </cell>
        </row>
        <row r="34">
          <cell r="A34" t="str">
            <v>FIXED MV</v>
          </cell>
          <cell r="B34">
            <v>0</v>
          </cell>
          <cell r="C34">
            <v>0</v>
          </cell>
        </row>
        <row r="35">
          <cell r="A35" t="str">
            <v>FIXED PCT</v>
          </cell>
          <cell r="B35">
            <v>0</v>
          </cell>
          <cell r="C35">
            <v>0</v>
          </cell>
        </row>
        <row r="36">
          <cell r="A36" t="str">
            <v>CASH MV</v>
          </cell>
          <cell r="B36">
            <v>0</v>
          </cell>
          <cell r="C36">
            <v>8013160.75</v>
          </cell>
        </row>
        <row r="37">
          <cell r="A37" t="str">
            <v>CASH PCT</v>
          </cell>
          <cell r="B37">
            <v>0</v>
          </cell>
          <cell r="C37">
            <v>4.479</v>
          </cell>
        </row>
        <row r="38">
          <cell r="A38" t="str">
            <v>CONV MV</v>
          </cell>
          <cell r="B38">
            <v>0</v>
          </cell>
          <cell r="C38">
            <v>208034.001</v>
          </cell>
        </row>
        <row r="39">
          <cell r="A39" t="str">
            <v>CONV PCT</v>
          </cell>
          <cell r="B39">
            <v>0</v>
          </cell>
          <cell r="C39">
            <v>0.116</v>
          </cell>
        </row>
        <row r="40">
          <cell r="A40" t="str">
            <v>PREFER MV</v>
          </cell>
          <cell r="B40">
            <v>14107162000</v>
          </cell>
          <cell r="C40">
            <v>0</v>
          </cell>
        </row>
        <row r="41">
          <cell r="A41" t="str">
            <v>PREFER PCT</v>
          </cell>
          <cell r="B41">
            <v>0.183</v>
          </cell>
          <cell r="C41">
            <v>0</v>
          </cell>
        </row>
        <row r="42">
          <cell r="A42" t="str">
            <v>RGT AND WARRANT MV</v>
          </cell>
          <cell r="B42">
            <v>0</v>
          </cell>
          <cell r="C42">
            <v>172070.11</v>
          </cell>
        </row>
        <row r="43">
          <cell r="A43" t="str">
            <v>RGT AND WARRANT PCT</v>
          </cell>
          <cell r="B43">
            <v>0</v>
          </cell>
          <cell r="C43">
            <v>0.096</v>
          </cell>
        </row>
        <row r="44">
          <cell r="A44" t="str">
            <v>OPT MV</v>
          </cell>
          <cell r="B44">
            <v>0</v>
          </cell>
          <cell r="C44">
            <v>0</v>
          </cell>
        </row>
        <row r="45">
          <cell r="A45" t="str">
            <v>OPT PCT</v>
          </cell>
          <cell r="B45">
            <v>0</v>
          </cell>
          <cell r="C45">
            <v>0</v>
          </cell>
        </row>
        <row r="46">
          <cell r="A46" t="str">
            <v>FUT MV</v>
          </cell>
          <cell r="B46">
            <v>0</v>
          </cell>
          <cell r="C46">
            <v>0</v>
          </cell>
        </row>
        <row r="47">
          <cell r="A47" t="str">
            <v>FUT PCT</v>
          </cell>
          <cell r="B47">
            <v>0</v>
          </cell>
          <cell r="C47">
            <v>0</v>
          </cell>
        </row>
        <row r="48">
          <cell r="A48" t="str">
            <v>OTHER MV</v>
          </cell>
          <cell r="B48">
            <v>0</v>
          </cell>
          <cell r="C48">
            <v>0</v>
          </cell>
        </row>
        <row r="49">
          <cell r="A49" t="str">
            <v>OTHER PCT</v>
          </cell>
          <cell r="B49">
            <v>0</v>
          </cell>
          <cell r="C49">
            <v>0</v>
          </cell>
        </row>
        <row r="50">
          <cell r="A50" t="str">
            <v>POOL AND MUTUAL MV</v>
          </cell>
          <cell r="B50">
            <v>0</v>
          </cell>
          <cell r="C50">
            <v>0</v>
          </cell>
        </row>
        <row r="51">
          <cell r="A51" t="str">
            <v>POOL AND MUTUAL PCT</v>
          </cell>
          <cell r="B51">
            <v>0</v>
          </cell>
          <cell r="C51">
            <v>0</v>
          </cell>
        </row>
        <row r="52">
          <cell r="A52" t="str">
            <v>SIZE UNC PCT</v>
          </cell>
          <cell r="B52">
            <v>2.558</v>
          </cell>
          <cell r="C52">
            <v>2.476</v>
          </cell>
        </row>
        <row r="53">
          <cell r="A53" t="str">
            <v>Q5 PCT</v>
          </cell>
          <cell r="B53">
            <v>13.059</v>
          </cell>
          <cell r="C53">
            <v>17.473</v>
          </cell>
        </row>
        <row r="54">
          <cell r="A54" t="str">
            <v>Q4 PCT</v>
          </cell>
          <cell r="B54">
            <v>20.501</v>
          </cell>
          <cell r="C54">
            <v>20.434</v>
          </cell>
        </row>
        <row r="55">
          <cell r="A55" t="str">
            <v>Q3 PCT</v>
          </cell>
          <cell r="B55">
            <v>22.176</v>
          </cell>
          <cell r="C55">
            <v>14.364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41.v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vmlDrawing" Target="../drawings/vmlDrawing43.v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vmlDrawing" Target="../drawings/vmlDrawing44.v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vmlDrawing" Target="../drawings/vmlDrawing45.v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vmlDrawing" Target="../drawings/vmlDrawing46.vml" /><Relationship Id="rId2"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workbookViewId="0" topLeftCell="A5">
      <selection activeCell="A1" sqref="A1"/>
    </sheetView>
  </sheetViews>
  <sheetFormatPr defaultColWidth="9.140625" defaultRowHeight="12.75"/>
  <sheetData/>
  <printOptions/>
  <pageMargins left="0.75" right="0.75" top="1" bottom="1" header="0.5" footer="0.5"/>
  <pageSetup fitToHeight="1" fitToWidth="1" horizontalDpi="600" verticalDpi="600" orientation="landscape" scale="76" r:id="rId2"/>
  <drawing r:id="rId1"/>
</worksheet>
</file>

<file path=xl/worksheets/sheet10.xml><?xml version="1.0" encoding="utf-8"?>
<worksheet xmlns="http://schemas.openxmlformats.org/spreadsheetml/2006/main" xmlns:r="http://schemas.openxmlformats.org/officeDocument/2006/relationships">
  <sheetPr codeName="Sheet9"/>
  <dimension ref="A2:H46"/>
  <sheetViews>
    <sheetView workbookViewId="0" topLeftCell="A19">
      <selection activeCell="E40" sqref="E40"/>
    </sheetView>
  </sheetViews>
  <sheetFormatPr defaultColWidth="9.140625" defaultRowHeight="12.75"/>
  <cols>
    <col min="1" max="1" width="7.7109375" style="1" customWidth="1"/>
    <col min="2" max="2" width="64.7109375" style="1" customWidth="1"/>
    <col min="3" max="3" width="21.7109375" style="1" bestFit="1" customWidth="1"/>
    <col min="4" max="4" width="8.7109375" style="1" customWidth="1"/>
    <col min="5" max="5" width="20.8515625" style="1" bestFit="1" customWidth="1"/>
    <col min="6" max="16384" width="9.140625" style="1" customWidth="1"/>
  </cols>
  <sheetData>
    <row r="2" spans="3:5" ht="15.75">
      <c r="C2" s="12" t="s">
        <v>548</v>
      </c>
      <c r="E2" s="12" t="s">
        <v>548</v>
      </c>
    </row>
    <row r="3" spans="3:5" ht="15.75">
      <c r="C3" s="111"/>
      <c r="D3" s="113"/>
      <c r="E3" s="111"/>
    </row>
    <row r="4" spans="3:5" ht="15.75">
      <c r="C4" s="25"/>
      <c r="D4" s="113"/>
      <c r="E4" s="176" t="s">
        <v>496</v>
      </c>
    </row>
    <row r="5" spans="1:4" ht="15" customHeight="1">
      <c r="A5" s="14" t="s">
        <v>379</v>
      </c>
      <c r="D5" s="56"/>
    </row>
    <row r="6" spans="2:5" ht="15" customHeight="1">
      <c r="B6" s="1" t="s">
        <v>404</v>
      </c>
      <c r="C6" s="26"/>
      <c r="D6" s="17"/>
      <c r="E6" s="26"/>
    </row>
    <row r="7" spans="2:5" ht="15" customHeight="1">
      <c r="B7" s="1" t="s">
        <v>405</v>
      </c>
      <c r="C7" s="26"/>
      <c r="D7" s="114"/>
      <c r="E7" s="26"/>
    </row>
    <row r="8" spans="3:5" ht="15" customHeight="1">
      <c r="C8" s="23"/>
      <c r="D8" s="115"/>
      <c r="E8" s="23"/>
    </row>
    <row r="9" spans="2:5" ht="15" customHeight="1">
      <c r="B9" s="1" t="s">
        <v>435</v>
      </c>
      <c r="C9" s="26"/>
      <c r="D9" s="17"/>
      <c r="E9" s="26"/>
    </row>
    <row r="10" spans="2:5" ht="15" customHeight="1">
      <c r="B10" s="1" t="s">
        <v>436</v>
      </c>
      <c r="C10" s="23"/>
      <c r="D10" s="115"/>
      <c r="E10" s="45"/>
    </row>
    <row r="11" spans="2:5" ht="15" customHeight="1">
      <c r="B11" s="1" t="s">
        <v>376</v>
      </c>
      <c r="C11" s="23"/>
      <c r="D11" s="115"/>
      <c r="E11" s="23"/>
    </row>
    <row r="12" spans="2:5" ht="15" customHeight="1">
      <c r="B12" s="1" t="s">
        <v>377</v>
      </c>
      <c r="C12" s="23"/>
      <c r="D12" s="115"/>
      <c r="E12" s="145"/>
    </row>
    <row r="13" spans="2:5" ht="15" customHeight="1">
      <c r="B13" s="1" t="s">
        <v>378</v>
      </c>
      <c r="C13" s="23"/>
      <c r="D13" s="115"/>
      <c r="E13" s="23"/>
    </row>
    <row r="14" spans="2:5" ht="15" customHeight="1">
      <c r="B14" s="24" t="s">
        <v>484</v>
      </c>
      <c r="C14" s="23"/>
      <c r="D14" s="115"/>
      <c r="E14" s="23"/>
    </row>
    <row r="15" spans="2:5" ht="15" customHeight="1">
      <c r="B15" s="24" t="s">
        <v>501</v>
      </c>
      <c r="C15" s="23"/>
      <c r="D15" s="115"/>
      <c r="E15" s="23"/>
    </row>
    <row r="16" spans="2:5" ht="15" customHeight="1">
      <c r="B16" s="1" t="s">
        <v>395</v>
      </c>
      <c r="C16" s="23"/>
      <c r="D16" s="115"/>
      <c r="E16" s="23"/>
    </row>
    <row r="17" spans="2:5" ht="15" customHeight="1">
      <c r="B17" s="1" t="s">
        <v>437</v>
      </c>
      <c r="C17" s="30">
        <f>SUM(C9:C16)</f>
        <v>0</v>
      </c>
      <c r="D17" s="17"/>
      <c r="E17" s="30">
        <f>SUM(E9:E16)</f>
        <v>0</v>
      </c>
    </row>
    <row r="18" ht="15" customHeight="1">
      <c r="D18" s="56"/>
    </row>
    <row r="19" spans="1:4" ht="15" customHeight="1">
      <c r="A19" s="14" t="s">
        <v>380</v>
      </c>
      <c r="D19" s="56"/>
    </row>
    <row r="20" spans="2:5" ht="15" customHeight="1">
      <c r="B20" s="24" t="s">
        <v>381</v>
      </c>
      <c r="C20" s="26"/>
      <c r="D20" s="17"/>
      <c r="E20" s="26"/>
    </row>
    <row r="21" spans="2:5" ht="15" customHeight="1">
      <c r="B21" s="1" t="s">
        <v>382</v>
      </c>
      <c r="C21" s="18"/>
      <c r="D21" s="89"/>
      <c r="E21" s="46"/>
    </row>
    <row r="22" spans="2:5" ht="15" customHeight="1">
      <c r="B22" s="24" t="s">
        <v>397</v>
      </c>
      <c r="C22" s="18"/>
      <c r="D22" s="89"/>
      <c r="E22" s="18"/>
    </row>
    <row r="23" spans="2:5" ht="15" customHeight="1">
      <c r="B23" s="24" t="s">
        <v>398</v>
      </c>
      <c r="C23" s="18"/>
      <c r="D23" s="89"/>
      <c r="E23" s="18"/>
    </row>
    <row r="24" spans="2:5" ht="15" customHeight="1">
      <c r="B24" s="24" t="s">
        <v>460</v>
      </c>
      <c r="C24" s="18"/>
      <c r="D24" s="89"/>
      <c r="E24" s="18"/>
    </row>
    <row r="25" spans="2:5" ht="15" customHeight="1">
      <c r="B25" s="1" t="s">
        <v>383</v>
      </c>
      <c r="C25" s="18"/>
      <c r="D25" s="89"/>
      <c r="E25" s="18"/>
    </row>
    <row r="26" spans="2:5" ht="15" customHeight="1">
      <c r="B26" s="1" t="s">
        <v>384</v>
      </c>
      <c r="C26" s="18"/>
      <c r="D26" s="89"/>
      <c r="E26" s="18"/>
    </row>
    <row r="27" spans="2:5" ht="15" customHeight="1">
      <c r="B27" s="1" t="s">
        <v>438</v>
      </c>
      <c r="C27" s="30">
        <f>SUM(C20:C26)</f>
        <v>0</v>
      </c>
      <c r="D27" s="17"/>
      <c r="E27" s="30">
        <f>SUM(E20:E26)</f>
        <v>0</v>
      </c>
    </row>
    <row r="28" spans="3:5" ht="15" customHeight="1">
      <c r="C28" s="18"/>
      <c r="D28" s="89"/>
      <c r="E28" s="18"/>
    </row>
    <row r="29" spans="1:4" ht="15" customHeight="1">
      <c r="A29" s="14" t="s">
        <v>504</v>
      </c>
      <c r="D29" s="56"/>
    </row>
    <row r="30" spans="2:5" ht="15" customHeight="1">
      <c r="B30" s="14" t="s">
        <v>439</v>
      </c>
      <c r="C30" s="26">
        <f>+C17-C27</f>
        <v>0</v>
      </c>
      <c r="D30" s="17"/>
      <c r="E30" s="26">
        <f>+E17-E27</f>
        <v>0</v>
      </c>
    </row>
    <row r="31" spans="2:5" ht="15" customHeight="1">
      <c r="B31" s="1" t="s">
        <v>385</v>
      </c>
      <c r="C31" s="18"/>
      <c r="D31" s="89"/>
      <c r="E31" s="18"/>
    </row>
    <row r="32" spans="2:5" ht="15" customHeight="1">
      <c r="B32" s="1" t="s">
        <v>505</v>
      </c>
      <c r="C32" s="18"/>
      <c r="D32" s="89"/>
      <c r="E32" s="18"/>
    </row>
    <row r="33" spans="2:5" ht="15" customHeight="1">
      <c r="B33" s="1" t="s">
        <v>506</v>
      </c>
      <c r="C33" s="27"/>
      <c r="D33" s="89"/>
      <c r="E33" s="27"/>
    </row>
    <row r="34" spans="1:5" ht="15" customHeight="1">
      <c r="A34" s="14" t="s">
        <v>507</v>
      </c>
      <c r="C34" s="84">
        <f>+C30-C31-C32-C33</f>
        <v>0</v>
      </c>
      <c r="E34" s="84">
        <f>+E30-E31-E32-E33</f>
        <v>0</v>
      </c>
    </row>
    <row r="35" ht="15" customHeight="1"/>
    <row r="36" spans="1:5" ht="15" customHeight="1">
      <c r="A36" s="1" t="s">
        <v>508</v>
      </c>
      <c r="C36" s="18"/>
      <c r="D36" s="89"/>
      <c r="E36" s="18">
        <v>0</v>
      </c>
    </row>
    <row r="37" ht="15" customHeight="1">
      <c r="A37" s="14"/>
    </row>
    <row r="38" spans="1:5" ht="15" customHeight="1" thickBot="1">
      <c r="A38" s="14" t="s">
        <v>503</v>
      </c>
      <c r="C38" s="35">
        <f>SUM(C34:C37)</f>
        <v>0</v>
      </c>
      <c r="E38" s="35">
        <f>SUM(E34:E37)</f>
        <v>0</v>
      </c>
    </row>
    <row r="39" ht="15" customHeight="1" thickTop="1"/>
    <row r="40" spans="1:8" ht="15.75" thickBot="1">
      <c r="A40" s="14" t="s">
        <v>541</v>
      </c>
      <c r="B40" s="2"/>
      <c r="C40" s="164"/>
      <c r="E40" s="164"/>
      <c r="F40" s="2"/>
      <c r="G40" s="2"/>
      <c r="H40" s="2"/>
    </row>
    <row r="41" ht="15" customHeight="1" thickTop="1">
      <c r="B41" s="2"/>
    </row>
    <row r="42" spans="1:5" ht="15" customHeight="1">
      <c r="A42" s="14" t="s">
        <v>315</v>
      </c>
      <c r="B42" s="2"/>
      <c r="C42" s="2"/>
      <c r="D42" s="2"/>
      <c r="E42" s="2"/>
    </row>
    <row r="43" spans="1:5" ht="15" customHeight="1">
      <c r="A43" s="332" t="s">
        <v>16</v>
      </c>
      <c r="B43" s="332"/>
      <c r="C43" s="332"/>
      <c r="D43" s="332"/>
      <c r="E43" s="332"/>
    </row>
    <row r="44" spans="1:5" ht="15" customHeight="1">
      <c r="A44" s="332"/>
      <c r="B44" s="332"/>
      <c r="C44" s="332"/>
      <c r="D44" s="332"/>
      <c r="E44" s="332"/>
    </row>
    <row r="45" ht="15">
      <c r="B45" s="2"/>
    </row>
    <row r="46" ht="15">
      <c r="B46" s="2"/>
    </row>
  </sheetData>
  <mergeCells count="1">
    <mergeCell ref="A43:E44"/>
  </mergeCells>
  <printOptions horizontalCentered="1" verticalCentered="1"/>
  <pageMargins left="0.75" right="0.75" top="1" bottom="0.75" header="0.5" footer="0.5"/>
  <pageSetup horizontalDpi="300" verticalDpi="300" orientation="landscape" scale="70" r:id="rId2"/>
  <headerFooter alignWithMargins="0">
    <oddHeader>&amp;L&amp;G&amp;C&amp;"Optima,Bold"&amp;18CONSOLIDATED STATEMENTS OF INCOME
&amp;"Optima,Regular"&amp;12(U.S. dollars in thousands)
(Unaudited)</oddHeader>
    <oddFooter>&amp;C&amp;"Optima,Regular"6</oddFooter>
  </headerFooter>
  <legacyDrawingHF r:id="rId1"/>
</worksheet>
</file>

<file path=xl/worksheets/sheet11.xml><?xml version="1.0" encoding="utf-8"?>
<worksheet xmlns="http://schemas.openxmlformats.org/spreadsheetml/2006/main" xmlns:r="http://schemas.openxmlformats.org/officeDocument/2006/relationships">
  <sheetPr codeName="Sheet10"/>
  <dimension ref="A1:P48"/>
  <sheetViews>
    <sheetView workbookViewId="0" topLeftCell="A26">
      <selection activeCell="B37" sqref="B37"/>
    </sheetView>
  </sheetViews>
  <sheetFormatPr defaultColWidth="9.140625" defaultRowHeight="12.75"/>
  <cols>
    <col min="1" max="1" width="3.140625" style="1" customWidth="1"/>
    <col min="2" max="2" width="55.8515625" style="1" customWidth="1"/>
    <col min="3" max="3" width="21.7109375" style="1" bestFit="1" customWidth="1"/>
    <col min="4" max="4" width="3.140625" style="1" customWidth="1"/>
    <col min="5" max="5" width="21.7109375" style="1" bestFit="1" customWidth="1"/>
    <col min="6" max="6" width="2.421875" style="1" customWidth="1"/>
    <col min="7" max="7" width="21.7109375" style="1" bestFit="1" customWidth="1"/>
    <col min="8" max="8" width="2.421875" style="1" customWidth="1"/>
    <col min="9" max="9" width="21.7109375" style="1" bestFit="1" customWidth="1"/>
    <col min="10" max="10" width="2.421875" style="1" customWidth="1"/>
    <col min="11" max="11" width="21.7109375" style="1" bestFit="1" customWidth="1"/>
    <col min="12" max="12" width="2.421875" style="1" customWidth="1"/>
    <col min="13" max="13" width="21.7109375" style="1" hidden="1" customWidth="1"/>
    <col min="14" max="14" width="2.421875" style="1" hidden="1" customWidth="1"/>
    <col min="15" max="15" width="21.7109375" style="1" hidden="1" customWidth="1"/>
    <col min="17" max="16384" width="9.140625" style="1" customWidth="1"/>
  </cols>
  <sheetData>
    <row r="1" spans="3:15" ht="15.75">
      <c r="C1" s="108"/>
      <c r="D1" s="108"/>
      <c r="E1" s="108"/>
      <c r="F1" s="108"/>
      <c r="G1" s="108"/>
      <c r="H1" s="108"/>
      <c r="I1" s="108"/>
      <c r="J1" s="108"/>
      <c r="K1" s="108"/>
      <c r="L1" s="108"/>
      <c r="M1" s="108"/>
      <c r="N1" s="108"/>
      <c r="O1" s="108"/>
    </row>
    <row r="2" spans="3:15" ht="15.75">
      <c r="C2" s="12" t="s">
        <v>307</v>
      </c>
      <c r="D2" s="12"/>
      <c r="E2" s="12" t="s">
        <v>307</v>
      </c>
      <c r="F2" s="12"/>
      <c r="G2" s="12" t="s">
        <v>307</v>
      </c>
      <c r="H2" s="12"/>
      <c r="I2" s="12" t="s">
        <v>307</v>
      </c>
      <c r="J2" s="12"/>
      <c r="K2" s="12" t="s">
        <v>307</v>
      </c>
      <c r="L2" s="12"/>
      <c r="M2" s="12" t="s">
        <v>548</v>
      </c>
      <c r="N2" s="12"/>
      <c r="O2" s="12" t="s">
        <v>548</v>
      </c>
    </row>
    <row r="3" spans="3:15" ht="15.75">
      <c r="C3" s="111" t="s">
        <v>27</v>
      </c>
      <c r="D3" s="111"/>
      <c r="E3" s="111" t="s">
        <v>547</v>
      </c>
      <c r="F3" s="111"/>
      <c r="G3" s="111" t="s">
        <v>500</v>
      </c>
      <c r="H3" s="111"/>
      <c r="I3" s="111" t="s">
        <v>402</v>
      </c>
      <c r="J3" s="111"/>
      <c r="K3" s="111" t="s">
        <v>310</v>
      </c>
      <c r="L3" s="111"/>
      <c r="M3" s="111" t="s">
        <v>547</v>
      </c>
      <c r="N3" s="111"/>
      <c r="O3" s="111" t="s">
        <v>360</v>
      </c>
    </row>
    <row r="4" spans="1:15" ht="14.25" customHeight="1">
      <c r="A4" s="14"/>
      <c r="C4" s="188"/>
      <c r="D4" s="56"/>
      <c r="E4" s="188"/>
      <c r="F4" s="56"/>
      <c r="G4" s="187" t="s">
        <v>496</v>
      </c>
      <c r="I4" s="187" t="s">
        <v>496</v>
      </c>
      <c r="K4" s="187" t="s">
        <v>496</v>
      </c>
      <c r="M4" s="188"/>
      <c r="O4" s="187" t="s">
        <v>588</v>
      </c>
    </row>
    <row r="5" ht="14.25" customHeight="1">
      <c r="A5" s="14"/>
    </row>
    <row r="6" spans="1:15" ht="13.5">
      <c r="A6" s="14"/>
      <c r="B6" s="1" t="s">
        <v>503</v>
      </c>
      <c r="C6" s="116">
        <f>'Inc Stmt Qtr 03'!C38</f>
        <v>239857</v>
      </c>
      <c r="D6" s="116"/>
      <c r="E6" s="116">
        <f>'Inc Stmt Qtr 03'!E38</f>
        <v>214139</v>
      </c>
      <c r="F6" s="116"/>
      <c r="G6" s="116">
        <f>'Inc Stmt Qtr 03'!G38</f>
        <v>184067</v>
      </c>
      <c r="H6" s="56"/>
      <c r="I6" s="116">
        <f>'Inc Stmt Qtr 03'!I38</f>
        <v>-91748</v>
      </c>
      <c r="J6" s="56"/>
      <c r="K6" s="116">
        <f>'Inc Stmt Qtr 03'!K38</f>
        <v>89493</v>
      </c>
      <c r="L6" s="56"/>
      <c r="M6" s="116">
        <f>'Income Stmt YTD 02'!C38</f>
        <v>0</v>
      </c>
      <c r="N6" s="56"/>
      <c r="O6" s="116">
        <f>'Income Stmt YTD 02'!E38</f>
        <v>0</v>
      </c>
    </row>
    <row r="7" spans="1:15" ht="13.5">
      <c r="A7" s="14"/>
      <c r="C7" s="116"/>
      <c r="D7" s="116"/>
      <c r="E7" s="116"/>
      <c r="F7" s="116"/>
      <c r="G7" s="116"/>
      <c r="H7" s="56"/>
      <c r="I7" s="116"/>
      <c r="J7" s="56"/>
      <c r="K7" s="116"/>
      <c r="L7" s="56"/>
      <c r="M7" s="116"/>
      <c r="N7" s="56"/>
      <c r="O7" s="116"/>
    </row>
    <row r="8" spans="1:15" ht="13.5">
      <c r="A8" s="14"/>
      <c r="B8" s="1" t="s">
        <v>491</v>
      </c>
      <c r="C8" s="116"/>
      <c r="D8" s="116"/>
      <c r="E8" s="116"/>
      <c r="F8" s="116"/>
      <c r="G8" s="116"/>
      <c r="H8" s="56"/>
      <c r="I8" s="116"/>
      <c r="J8" s="56"/>
      <c r="K8" s="116"/>
      <c r="L8" s="56"/>
      <c r="M8" s="116"/>
      <c r="N8" s="56"/>
      <c r="O8" s="116"/>
    </row>
    <row r="9" spans="1:15" ht="13.5">
      <c r="A9" s="14"/>
      <c r="B9" s="1" t="s">
        <v>196</v>
      </c>
      <c r="C9" s="96">
        <f>-'Inc Stmt Qtr 03'!C13</f>
        <v>4663</v>
      </c>
      <c r="D9" s="96"/>
      <c r="E9" s="96">
        <f>-'Inc Stmt Qtr 03'!E13</f>
        <v>-24948</v>
      </c>
      <c r="F9" s="96"/>
      <c r="G9" s="96">
        <f>-'Inc Stmt Qtr 03'!G13</f>
        <v>23086</v>
      </c>
      <c r="I9" s="96">
        <f>-'Inc Stmt Qtr 03'!I13</f>
        <v>110002</v>
      </c>
      <c r="K9" s="96">
        <f>-'Inc Stmt Qtr 03'!K13</f>
        <v>106020</v>
      </c>
      <c r="M9" s="96"/>
      <c r="O9" s="96"/>
    </row>
    <row r="10" spans="1:15" ht="13.5">
      <c r="A10" s="14"/>
      <c r="B10" s="1" t="s">
        <v>293</v>
      </c>
      <c r="C10" s="96"/>
      <c r="D10" s="96"/>
      <c r="E10" s="96"/>
      <c r="F10" s="96"/>
      <c r="G10" s="96"/>
      <c r="I10" s="96"/>
      <c r="K10" s="96"/>
      <c r="M10" s="96"/>
      <c r="O10" s="96"/>
    </row>
    <row r="11" spans="1:15" ht="13.5">
      <c r="A11" s="14"/>
      <c r="B11" s="1" t="s">
        <v>63</v>
      </c>
      <c r="C11" s="96">
        <f>-'Inc Stmt Qtr 03'!C14</f>
        <v>-14493</v>
      </c>
      <c r="D11" s="96"/>
      <c r="E11" s="96">
        <f>-'Inc Stmt Qtr 03'!E14</f>
        <v>46635</v>
      </c>
      <c r="F11" s="96"/>
      <c r="G11" s="96">
        <f>-'Inc Stmt Qtr 03'!G14</f>
        <v>-9484</v>
      </c>
      <c r="I11" s="96">
        <f>-'Inc Stmt Qtr 03'!I14</f>
        <v>5134</v>
      </c>
      <c r="K11" s="96">
        <f>-'Inc Stmt Qtr 03'!K14</f>
        <v>9476</v>
      </c>
      <c r="M11" s="96"/>
      <c r="O11" s="96"/>
    </row>
    <row r="12" spans="1:16" s="24" customFormat="1" ht="15" customHeight="1">
      <c r="A12" s="195"/>
      <c r="B12" s="24" t="s">
        <v>198</v>
      </c>
      <c r="M12" s="196"/>
      <c r="O12" s="196"/>
      <c r="P12" s="197"/>
    </row>
    <row r="13" spans="1:16" s="24" customFormat="1" ht="13.5">
      <c r="A13" s="195"/>
      <c r="B13" s="24" t="s">
        <v>197</v>
      </c>
      <c r="C13" s="196">
        <v>10410</v>
      </c>
      <c r="D13" s="196"/>
      <c r="E13" s="196">
        <v>-1327</v>
      </c>
      <c r="F13" s="196"/>
      <c r="G13" s="196">
        <v>14022</v>
      </c>
      <c r="I13" s="196">
        <v>2993</v>
      </c>
      <c r="K13" s="196">
        <v>919</v>
      </c>
      <c r="M13" s="196"/>
      <c r="O13" s="196"/>
      <c r="P13" s="197"/>
    </row>
    <row r="14" spans="1:16" s="24" customFormat="1" ht="13.5">
      <c r="A14" s="195"/>
      <c r="B14" s="1" t="s">
        <v>200</v>
      </c>
      <c r="C14" s="196"/>
      <c r="D14" s="196"/>
      <c r="E14" s="196"/>
      <c r="F14" s="196"/>
      <c r="G14" s="196"/>
      <c r="I14" s="196"/>
      <c r="K14" s="196"/>
      <c r="M14" s="196"/>
      <c r="O14" s="196"/>
      <c r="P14" s="197"/>
    </row>
    <row r="15" spans="1:16" s="24" customFormat="1" ht="14.25" customHeight="1">
      <c r="A15" s="195"/>
      <c r="B15" s="24" t="s">
        <v>199</v>
      </c>
      <c r="C15" s="196">
        <v>9709</v>
      </c>
      <c r="D15" s="196"/>
      <c r="E15" s="196">
        <f>-E9-9265</f>
        <v>15683</v>
      </c>
      <c r="F15" s="196"/>
      <c r="G15" s="196">
        <f>-G9+28016</f>
        <v>4930</v>
      </c>
      <c r="I15" s="196">
        <f>-I9+110053</f>
        <v>51</v>
      </c>
      <c r="K15" s="196">
        <f>107691-K9</f>
        <v>1671</v>
      </c>
      <c r="M15" s="196"/>
      <c r="O15" s="196"/>
      <c r="P15" s="197"/>
    </row>
    <row r="16" spans="1:15" ht="13.5">
      <c r="A16" s="14"/>
      <c r="C16" s="96"/>
      <c r="D16" s="96"/>
      <c r="E16" s="96"/>
      <c r="F16" s="96"/>
      <c r="G16" s="96"/>
      <c r="I16" s="96"/>
      <c r="K16" s="96"/>
      <c r="M16" s="96"/>
      <c r="O16" s="96"/>
    </row>
    <row r="17" spans="1:15" ht="14.25" thickBot="1">
      <c r="A17" s="14"/>
      <c r="B17" s="1" t="s">
        <v>201</v>
      </c>
      <c r="C17" s="120">
        <f>C6+C9+C11+C13+C15</f>
        <v>250146</v>
      </c>
      <c r="D17" s="121"/>
      <c r="E17" s="120">
        <f>E6+E9+E11+E13+E15</f>
        <v>250182</v>
      </c>
      <c r="F17" s="121"/>
      <c r="G17" s="120">
        <f>G6+G9+G11+G13+G15</f>
        <v>216621</v>
      </c>
      <c r="H17" s="96"/>
      <c r="I17" s="120">
        <f>I6+I9+I11+I13+I15</f>
        <v>26432</v>
      </c>
      <c r="J17" s="96"/>
      <c r="K17" s="120">
        <f>K6+K9+K11+K13+K15</f>
        <v>207579</v>
      </c>
      <c r="L17" s="96"/>
      <c r="M17" s="120">
        <f>M6+M9+M11+M12</f>
        <v>0</v>
      </c>
      <c r="N17" s="96"/>
      <c r="O17" s="120">
        <f>O6+O9+O11+O12</f>
        <v>0</v>
      </c>
    </row>
    <row r="18" spans="1:15" ht="14.25" thickTop="1">
      <c r="A18" s="14"/>
      <c r="C18" s="121"/>
      <c r="D18" s="121"/>
      <c r="E18" s="121"/>
      <c r="F18" s="121"/>
      <c r="G18" s="121"/>
      <c r="H18" s="96"/>
      <c r="I18" s="121"/>
      <c r="J18" s="96"/>
      <c r="K18" s="121"/>
      <c r="L18" s="96"/>
      <c r="M18" s="121"/>
      <c r="N18" s="96"/>
      <c r="O18" s="121"/>
    </row>
    <row r="19" spans="1:15" ht="13.5">
      <c r="A19" s="14"/>
      <c r="C19" s="121"/>
      <c r="D19" s="121"/>
      <c r="E19" s="121"/>
      <c r="F19" s="121"/>
      <c r="G19" s="121"/>
      <c r="H19" s="96"/>
      <c r="I19" s="121"/>
      <c r="J19" s="96"/>
      <c r="K19" s="121"/>
      <c r="L19" s="96"/>
      <c r="M19" s="121"/>
      <c r="N19" s="96"/>
      <c r="O19" s="121"/>
    </row>
    <row r="20" spans="1:15" ht="13.5">
      <c r="A20" s="14" t="s">
        <v>521</v>
      </c>
      <c r="C20" s="121"/>
      <c r="D20" s="121"/>
      <c r="E20" s="121"/>
      <c r="F20" s="121"/>
      <c r="G20" s="121"/>
      <c r="H20" s="96"/>
      <c r="I20" s="121"/>
      <c r="J20" s="96"/>
      <c r="K20" s="121"/>
      <c r="L20" s="96"/>
      <c r="M20" s="121"/>
      <c r="N20" s="96"/>
      <c r="O20" s="121"/>
    </row>
    <row r="21" spans="1:15" ht="13.5">
      <c r="A21" s="14"/>
      <c r="B21" s="1" t="s">
        <v>408</v>
      </c>
      <c r="C21" s="122">
        <f>'Financial Highlights- IS'!C21</f>
        <v>136215995</v>
      </c>
      <c r="D21" s="122"/>
      <c r="E21" s="122">
        <v>135886818</v>
      </c>
      <c r="F21" s="122"/>
      <c r="G21" s="122">
        <v>135789897</v>
      </c>
      <c r="H21" s="96"/>
      <c r="I21" s="122">
        <v>135661947</v>
      </c>
      <c r="J21" s="96"/>
      <c r="K21" s="122">
        <f>'Financial Highlights- IS'!E21</f>
        <v>135119139</v>
      </c>
      <c r="L21" s="96"/>
      <c r="M21" s="122">
        <f>'Financial Highlights- IS'!G21</f>
        <v>0</v>
      </c>
      <c r="N21" s="96"/>
      <c r="O21" s="122">
        <f>'Financial Highlights- IS'!I21</f>
        <v>0</v>
      </c>
    </row>
    <row r="22" spans="1:15" ht="13.5">
      <c r="A22" s="14"/>
      <c r="B22" s="1" t="s">
        <v>544</v>
      </c>
      <c r="C22" s="122">
        <f>'Financial Highlights- IS'!C22</f>
        <v>137631183</v>
      </c>
      <c r="D22" s="122"/>
      <c r="E22" s="122">
        <v>137581936</v>
      </c>
      <c r="F22" s="122"/>
      <c r="G22" s="122">
        <v>137348921</v>
      </c>
      <c r="H22" s="96"/>
      <c r="I22" s="122">
        <v>138230690</v>
      </c>
      <c r="J22" s="96"/>
      <c r="K22" s="122">
        <f>'Financial Highlights- IS'!E22</f>
        <v>137843313</v>
      </c>
      <c r="L22" s="96"/>
      <c r="M22" s="122">
        <f>'Financial Highlights- IS'!G22</f>
        <v>0</v>
      </c>
      <c r="N22" s="96"/>
      <c r="O22" s="122">
        <f>'Financial Highlights- IS'!I22</f>
        <v>0</v>
      </c>
    </row>
    <row r="23" spans="1:15" ht="13.5">
      <c r="A23" s="14"/>
      <c r="C23" s="121"/>
      <c r="D23" s="121"/>
      <c r="E23" s="121"/>
      <c r="F23" s="121"/>
      <c r="G23" s="121"/>
      <c r="H23" s="96"/>
      <c r="I23" s="121"/>
      <c r="J23" s="96"/>
      <c r="K23" s="121"/>
      <c r="L23" s="96"/>
      <c r="M23" s="121"/>
      <c r="N23" s="96"/>
      <c r="O23" s="121"/>
    </row>
    <row r="24" ht="13.5">
      <c r="A24" s="14"/>
    </row>
    <row r="25" ht="13.5">
      <c r="A25" s="14" t="s">
        <v>128</v>
      </c>
    </row>
    <row r="26" spans="2:16" ht="13.5">
      <c r="B26" s="1" t="s">
        <v>202</v>
      </c>
      <c r="C26" s="125">
        <f>C6/(C22/1000)</f>
        <v>1.742751858784793</v>
      </c>
      <c r="D26" s="125"/>
      <c r="E26" s="125">
        <f>E6/(E22/1000)</f>
        <v>1.556447061480513</v>
      </c>
      <c r="F26" s="125"/>
      <c r="G26" s="125">
        <f>G6/(G22/1000)</f>
        <v>1.3401415799982876</v>
      </c>
      <c r="H26" s="31"/>
      <c r="I26" s="125">
        <f>I6/(I21/1000)</f>
        <v>-0.676298711826685</v>
      </c>
      <c r="J26" s="31"/>
      <c r="K26" s="125">
        <f>K6/(K21/1000)-0.01</f>
        <v>0.6523266005269617</v>
      </c>
      <c r="L26" s="31"/>
      <c r="M26" s="125" t="e">
        <f>M6/(M22/1000)</f>
        <v>#DIV/0!</v>
      </c>
      <c r="N26" s="31"/>
      <c r="O26" s="125" t="e">
        <f>O6/(O21/1000)</f>
        <v>#DIV/0!</v>
      </c>
      <c r="P26" s="169"/>
    </row>
    <row r="27" spans="3:15" ht="13.5">
      <c r="C27" s="136"/>
      <c r="D27" s="136"/>
      <c r="E27" s="136"/>
      <c r="F27" s="136"/>
      <c r="G27" s="136"/>
      <c r="H27" s="31"/>
      <c r="I27" s="136"/>
      <c r="J27" s="31"/>
      <c r="K27" s="125"/>
      <c r="L27" s="31"/>
      <c r="M27" s="136"/>
      <c r="N27" s="31"/>
      <c r="O27" s="125"/>
    </row>
    <row r="28" spans="2:15" ht="13.5">
      <c r="B28" s="1" t="s">
        <v>491</v>
      </c>
      <c r="C28" s="123"/>
      <c r="D28" s="123"/>
      <c r="E28" s="123"/>
      <c r="F28" s="123"/>
      <c r="G28" s="123"/>
      <c r="H28" s="31"/>
      <c r="I28" s="123"/>
      <c r="J28" s="31"/>
      <c r="K28" s="123"/>
      <c r="L28" s="31"/>
      <c r="M28" s="123"/>
      <c r="N28" s="31"/>
      <c r="O28" s="123"/>
    </row>
    <row r="29" spans="2:15" ht="13.5">
      <c r="B29" s="1" t="s">
        <v>196</v>
      </c>
      <c r="C29" s="124">
        <f>C9/(C22/1000)</f>
        <v>0.033880403396663386</v>
      </c>
      <c r="D29" s="124"/>
      <c r="E29" s="124">
        <f>E9/(E22/1000)</f>
        <v>-0.18133194462389307</v>
      </c>
      <c r="F29" s="124"/>
      <c r="G29" s="124">
        <f>G9/(G22/1000)</f>
        <v>0.16808286393454813</v>
      </c>
      <c r="I29" s="124">
        <f>I9/(I21/1000)</f>
        <v>0.8108537613720082</v>
      </c>
      <c r="K29" s="124">
        <f>K9/(K21/1000)-0.01</f>
        <v>0.7746408790393491</v>
      </c>
      <c r="M29" s="124" t="e">
        <f>M9/(M22/1000)</f>
        <v>#DIV/0!</v>
      </c>
      <c r="O29" s="124" t="e">
        <f>O9/(O21/1000)</f>
        <v>#DIV/0!</v>
      </c>
    </row>
    <row r="30" spans="2:15" ht="13.5">
      <c r="B30" s="1" t="s">
        <v>293</v>
      </c>
      <c r="M30" s="124" t="e">
        <f>M11/(M22/1000)</f>
        <v>#DIV/0!</v>
      </c>
      <c r="O30" s="124" t="e">
        <f>O11/(O21/1000)</f>
        <v>#DIV/0!</v>
      </c>
    </row>
    <row r="31" spans="2:16" s="24" customFormat="1" ht="13.5">
      <c r="B31" s="1" t="s">
        <v>63</v>
      </c>
      <c r="C31" s="124">
        <f>C11/(C22/1000)+0.01</f>
        <v>-0.09530317101176121</v>
      </c>
      <c r="D31" s="124"/>
      <c r="E31" s="124">
        <f>E11/(E22/1000)</f>
        <v>0.3389616497328545</v>
      </c>
      <c r="F31" s="124"/>
      <c r="G31" s="124">
        <f>G11/(G22/1000)</f>
        <v>-0.06905041503747962</v>
      </c>
      <c r="I31" s="124">
        <f>I11/(I21/1000)</f>
        <v>0.03784406838861011</v>
      </c>
      <c r="K31" s="124">
        <f>K11/(K21/1000)</f>
        <v>0.07013070146931591</v>
      </c>
      <c r="M31" s="198" t="e">
        <f>M12/(M22/1000)</f>
        <v>#DIV/0!</v>
      </c>
      <c r="O31" s="198" t="e">
        <f>O12/(O21/1000)</f>
        <v>#DIV/0!</v>
      </c>
      <c r="P31" s="197"/>
    </row>
    <row r="32" spans="2:16" s="24" customFormat="1" ht="15" customHeight="1">
      <c r="B32" s="24" t="s">
        <v>198</v>
      </c>
      <c r="M32" s="198"/>
      <c r="O32" s="198"/>
      <c r="P32" s="197"/>
    </row>
    <row r="33" spans="2:16" s="24" customFormat="1" ht="13.5">
      <c r="B33" s="24" t="s">
        <v>197</v>
      </c>
      <c r="C33" s="198">
        <f>C13/(C22/1000)</f>
        <v>0.07563692887824702</v>
      </c>
      <c r="D33" s="198"/>
      <c r="E33" s="198">
        <f>E13/(E22/1000)</f>
        <v>-0.009645161556674126</v>
      </c>
      <c r="F33" s="198"/>
      <c r="G33" s="198">
        <f>G13/(G22/1000)</f>
        <v>0.10209035424457394</v>
      </c>
      <c r="I33" s="198">
        <f>I13/(I21/1000)</f>
        <v>0.02206219257637516</v>
      </c>
      <c r="K33" s="198">
        <f>K13/(K21/1000)</f>
        <v>0.006801405091842689</v>
      </c>
      <c r="M33" s="198"/>
      <c r="O33" s="198"/>
      <c r="P33" s="197"/>
    </row>
    <row r="34" spans="2:16" s="24" customFormat="1" ht="13.5">
      <c r="B34" s="1" t="s">
        <v>200</v>
      </c>
      <c r="C34" s="198">
        <f>C15/(C22/1000)</f>
        <v>0.07054360638606151</v>
      </c>
      <c r="D34" s="198"/>
      <c r="E34" s="198">
        <f>E15/(E22/1000)</f>
        <v>0.11399025523234388</v>
      </c>
      <c r="F34" s="198"/>
      <c r="G34" s="198">
        <f>G15/(G22/1000)</f>
        <v>0.03589398419809938</v>
      </c>
      <c r="I34" s="198">
        <f>I15/(I21/1000)</f>
        <v>0.0003759344541914912</v>
      </c>
      <c r="K34" s="198">
        <f>K15/(K22/1000)</f>
        <v>0.012122459650980676</v>
      </c>
      <c r="M34" s="198"/>
      <c r="O34" s="198"/>
      <c r="P34" s="197"/>
    </row>
    <row r="35" ht="15" customHeight="1">
      <c r="B35" s="24" t="s">
        <v>199</v>
      </c>
    </row>
    <row r="36" spans="2:15" ht="14.25" thickBot="1">
      <c r="B36" s="1" t="s">
        <v>201</v>
      </c>
      <c r="C36" s="118">
        <f>SUM(C26:C35)-0.01</f>
        <v>1.8175096264340038</v>
      </c>
      <c r="D36" s="119"/>
      <c r="E36" s="118">
        <f>SUM(E26:E35)</f>
        <v>1.8184218602651443</v>
      </c>
      <c r="F36" s="119"/>
      <c r="G36" s="118">
        <f>SUM(G26:G35)</f>
        <v>1.5771583673380296</v>
      </c>
      <c r="H36" s="119"/>
      <c r="I36" s="118">
        <f>SUM(I26:I35)</f>
        <v>0.1948372449644999</v>
      </c>
      <c r="J36" s="119"/>
      <c r="K36" s="118">
        <f>SUM(K26:K35)-0.01</f>
        <v>1.5060220457784501</v>
      </c>
      <c r="L36" s="117"/>
      <c r="M36" s="118" t="e">
        <f>SUM(M26:M35)</f>
        <v>#DIV/0!</v>
      </c>
      <c r="O36" s="118" t="e">
        <f>SUM(O26:O35)</f>
        <v>#DIV/0!</v>
      </c>
    </row>
    <row r="37" spans="3:15" ht="14.25" thickTop="1">
      <c r="C37" s="23"/>
      <c r="D37" s="23"/>
      <c r="E37" s="23"/>
      <c r="F37" s="23"/>
      <c r="G37" s="23"/>
      <c r="H37" s="23"/>
      <c r="I37" s="23"/>
      <c r="J37" s="23"/>
      <c r="K37" s="46"/>
      <c r="L37" s="23"/>
      <c r="M37" s="23"/>
      <c r="N37" s="23"/>
      <c r="O37" s="23"/>
    </row>
    <row r="38" spans="3:15" ht="13.5">
      <c r="C38" s="23"/>
      <c r="D38" s="23"/>
      <c r="E38" s="23"/>
      <c r="F38" s="23"/>
      <c r="G38" s="23"/>
      <c r="H38" s="23"/>
      <c r="I38" s="23"/>
      <c r="J38" s="23"/>
      <c r="K38" s="46"/>
      <c r="L38" s="23"/>
      <c r="M38" s="23"/>
      <c r="N38" s="23"/>
      <c r="O38" s="23"/>
    </row>
    <row r="39" spans="3:15" ht="13.5">
      <c r="C39" s="23"/>
      <c r="D39" s="23"/>
      <c r="E39" s="23"/>
      <c r="F39" s="23"/>
      <c r="G39" s="23"/>
      <c r="H39" s="23"/>
      <c r="I39" s="23"/>
      <c r="J39" s="23"/>
      <c r="K39" s="23"/>
      <c r="L39" s="23"/>
      <c r="M39" s="23"/>
      <c r="N39" s="23"/>
      <c r="O39" s="23"/>
    </row>
    <row r="40" spans="1:14" ht="15.75">
      <c r="A40" s="14" t="s">
        <v>347</v>
      </c>
      <c r="H40" s="12"/>
      <c r="J40" s="12"/>
      <c r="L40" s="12"/>
      <c r="M40" s="12"/>
      <c r="N40" s="12"/>
    </row>
    <row r="41" spans="1:15" ht="13.5" customHeight="1">
      <c r="A41" s="336" t="s">
        <v>106</v>
      </c>
      <c r="B41" s="336"/>
      <c r="C41" s="336"/>
      <c r="D41" s="336"/>
      <c r="E41" s="336"/>
      <c r="F41" s="336"/>
      <c r="G41" s="336"/>
      <c r="H41" s="336"/>
      <c r="I41" s="336"/>
      <c r="J41" s="336"/>
      <c r="K41" s="336"/>
      <c r="L41" s="336"/>
      <c r="M41" s="216"/>
      <c r="N41" s="216"/>
      <c r="O41" s="216"/>
    </row>
    <row r="42" spans="1:16" ht="17.25" customHeight="1">
      <c r="A42" s="335" t="s">
        <v>189</v>
      </c>
      <c r="B42" s="335"/>
      <c r="C42" s="335"/>
      <c r="D42" s="335"/>
      <c r="E42" s="335"/>
      <c r="F42" s="335"/>
      <c r="G42" s="335"/>
      <c r="H42" s="335"/>
      <c r="I42" s="335"/>
      <c r="J42" s="335"/>
      <c r="K42" s="335"/>
      <c r="L42" s="335"/>
      <c r="M42" s="78"/>
      <c r="N42" s="78"/>
      <c r="O42" s="78"/>
      <c r="P42" s="194"/>
    </row>
    <row r="43" spans="1:16" ht="13.5">
      <c r="A43" s="335"/>
      <c r="B43" s="335"/>
      <c r="C43" s="335"/>
      <c r="D43" s="335"/>
      <c r="E43" s="335"/>
      <c r="F43" s="335"/>
      <c r="G43" s="335"/>
      <c r="H43" s="335"/>
      <c r="I43" s="335"/>
      <c r="J43" s="335"/>
      <c r="K43" s="335"/>
      <c r="L43" s="335"/>
      <c r="M43" s="78"/>
      <c r="N43" s="78"/>
      <c r="O43" s="78"/>
      <c r="P43" s="194"/>
    </row>
    <row r="44" spans="1:16" ht="13.5">
      <c r="A44" s="335"/>
      <c r="B44" s="335"/>
      <c r="C44" s="335"/>
      <c r="D44" s="335"/>
      <c r="E44" s="335"/>
      <c r="F44" s="335"/>
      <c r="G44" s="335"/>
      <c r="H44" s="335"/>
      <c r="I44" s="335"/>
      <c r="J44" s="335"/>
      <c r="K44" s="335"/>
      <c r="L44" s="335"/>
      <c r="M44" s="78"/>
      <c r="N44" s="78"/>
      <c r="O44" s="78"/>
      <c r="P44" s="194"/>
    </row>
    <row r="45" spans="1:16" ht="13.5">
      <c r="A45" s="335"/>
      <c r="B45" s="335"/>
      <c r="C45" s="335"/>
      <c r="D45" s="335"/>
      <c r="E45" s="335"/>
      <c r="F45" s="335"/>
      <c r="G45" s="335"/>
      <c r="H45" s="335"/>
      <c r="I45" s="335"/>
      <c r="J45" s="335"/>
      <c r="K45" s="335"/>
      <c r="L45" s="335"/>
      <c r="M45" s="78"/>
      <c r="N45" s="78"/>
      <c r="O45" s="78"/>
      <c r="P45" s="194"/>
    </row>
    <row r="46" spans="1:15" ht="24.75" customHeight="1">
      <c r="A46" s="335"/>
      <c r="B46" s="335"/>
      <c r="C46" s="335"/>
      <c r="D46" s="335"/>
      <c r="E46" s="335"/>
      <c r="F46" s="335"/>
      <c r="G46" s="335"/>
      <c r="H46" s="335"/>
      <c r="I46" s="335"/>
      <c r="J46" s="335"/>
      <c r="K46" s="335"/>
      <c r="L46" s="335"/>
      <c r="M46" s="78"/>
      <c r="N46" s="78"/>
      <c r="O46" s="78"/>
    </row>
    <row r="47" spans="1:12" ht="13.5">
      <c r="A47" s="335" t="s">
        <v>173</v>
      </c>
      <c r="B47" s="335"/>
      <c r="C47" s="335"/>
      <c r="D47" s="335"/>
      <c r="E47" s="335"/>
      <c r="F47" s="335"/>
      <c r="G47" s="335"/>
      <c r="H47" s="335"/>
      <c r="I47" s="335"/>
      <c r="J47" s="335"/>
      <c r="K47" s="335"/>
      <c r="L47" s="335"/>
    </row>
    <row r="48" spans="1:12" ht="13.5">
      <c r="A48" s="335"/>
      <c r="B48" s="335"/>
      <c r="C48" s="335"/>
      <c r="D48" s="335"/>
      <c r="E48" s="335"/>
      <c r="F48" s="335"/>
      <c r="G48" s="335"/>
      <c r="H48" s="335"/>
      <c r="I48" s="335"/>
      <c r="J48" s="335"/>
      <c r="K48" s="335"/>
      <c r="L48" s="335"/>
    </row>
  </sheetData>
  <mergeCells count="3">
    <mergeCell ref="A42:L46"/>
    <mergeCell ref="A41:L41"/>
    <mergeCell ref="A47:L48"/>
  </mergeCells>
  <printOptions horizontalCentered="1" verticalCentered="1"/>
  <pageMargins left="0.5" right="0.75" top="1" bottom="0.83" header="0.5" footer="0.5"/>
  <pageSetup horizontalDpi="600" verticalDpi="600" orientation="landscape" scale="65" r:id="rId2"/>
  <headerFooter alignWithMargins="0">
    <oddHeader>&amp;L&amp;G&amp;C&amp;"Optima,Bold"&amp;18EARNINGS PER SHARE INFORMATION
&amp;"Optima,Regular"&amp;12(U.S. dollars in thousands, except share and per share amounts)
(Unaudited)</oddHeader>
    <oddFooter>&amp;C&amp;"Optima,Regular"9</oddFooter>
  </headerFooter>
  <legacyDrawingHF r:id="rId1"/>
</worksheet>
</file>

<file path=xl/worksheets/sheet12.xml><?xml version="1.0" encoding="utf-8"?>
<worksheet xmlns="http://schemas.openxmlformats.org/spreadsheetml/2006/main" xmlns:r="http://schemas.openxmlformats.org/officeDocument/2006/relationships">
  <sheetPr codeName="Sheet39">
    <pageSetUpPr fitToPage="1"/>
  </sheetPr>
  <dimension ref="A1:O70"/>
  <sheetViews>
    <sheetView workbookViewId="0" topLeftCell="E1">
      <selection activeCell="A3" sqref="A3"/>
    </sheetView>
  </sheetViews>
  <sheetFormatPr defaultColWidth="9.140625" defaultRowHeight="12.75"/>
  <cols>
    <col min="1" max="1" width="3.140625" style="1" customWidth="1"/>
    <col min="2" max="2" width="45.28125" style="1" customWidth="1"/>
    <col min="3" max="3" width="19.28125" style="1" customWidth="1"/>
    <col min="4" max="4" width="2.421875" style="1" customWidth="1"/>
    <col min="5" max="5" width="17.28125" style="1" customWidth="1"/>
    <col min="6" max="6" width="2.421875" style="1" customWidth="1"/>
    <col min="7" max="7" width="17.421875" style="1" customWidth="1"/>
    <col min="8" max="8" width="2.421875" style="1" customWidth="1"/>
    <col min="9" max="9" width="17.8515625" style="1" customWidth="1"/>
    <col min="10" max="10" width="2.421875" style="1" customWidth="1"/>
    <col min="11" max="11" width="19.7109375" style="1" customWidth="1"/>
    <col min="12" max="12" width="2.421875" style="1" customWidth="1"/>
    <col min="13" max="13" width="16.57421875" style="1" customWidth="1"/>
    <col min="14" max="14" width="2.421875" style="1" customWidth="1"/>
    <col min="15" max="15" width="17.140625" style="1" customWidth="1"/>
    <col min="16" max="16384" width="9.140625" style="1" customWidth="1"/>
  </cols>
  <sheetData>
    <row r="1" spans="1:15" ht="24" customHeight="1">
      <c r="A1" s="337" t="s">
        <v>298</v>
      </c>
      <c r="B1" s="337"/>
      <c r="C1" s="337"/>
      <c r="D1" s="337"/>
      <c r="E1" s="337"/>
      <c r="F1" s="337"/>
      <c r="G1" s="337"/>
      <c r="H1" s="337"/>
      <c r="I1" s="337"/>
      <c r="J1" s="337"/>
      <c r="K1" s="337"/>
      <c r="L1" s="337"/>
      <c r="M1" s="337"/>
      <c r="N1" s="337"/>
      <c r="O1" s="337"/>
    </row>
    <row r="2" spans="1:15" ht="22.5" customHeight="1">
      <c r="A2" s="337"/>
      <c r="B2" s="337"/>
      <c r="C2" s="337"/>
      <c r="D2" s="337"/>
      <c r="E2" s="337"/>
      <c r="F2" s="337"/>
      <c r="G2" s="337"/>
      <c r="H2" s="337"/>
      <c r="I2" s="337"/>
      <c r="J2" s="337"/>
      <c r="K2" s="337"/>
      <c r="L2" s="337"/>
      <c r="M2" s="337"/>
      <c r="N2" s="337"/>
      <c r="O2" s="337"/>
    </row>
    <row r="3" spans="3:15" ht="15.75">
      <c r="C3" s="108"/>
      <c r="D3" s="108"/>
      <c r="E3" s="108"/>
      <c r="F3" s="108"/>
      <c r="G3" s="108"/>
      <c r="H3" s="108"/>
      <c r="I3" s="108"/>
      <c r="J3" s="108"/>
      <c r="K3" s="108"/>
      <c r="L3" s="108"/>
      <c r="M3" s="108"/>
      <c r="N3" s="108"/>
      <c r="O3" s="108"/>
    </row>
    <row r="4" spans="1:15" ht="18.75">
      <c r="A4" s="191" t="s">
        <v>17</v>
      </c>
      <c r="D4" s="191"/>
      <c r="E4" s="191"/>
      <c r="F4" s="191"/>
      <c r="G4" s="191"/>
      <c r="H4" s="191"/>
      <c r="I4" s="191"/>
      <c r="J4" s="191"/>
      <c r="K4" s="191"/>
      <c r="L4" s="191"/>
      <c r="M4" s="191"/>
      <c r="N4" s="191"/>
      <c r="O4" s="191"/>
    </row>
    <row r="5" spans="3:15" s="2" customFormat="1" ht="15">
      <c r="C5" s="21" t="s">
        <v>307</v>
      </c>
      <c r="D5" s="21"/>
      <c r="E5" s="21" t="s">
        <v>307</v>
      </c>
      <c r="F5" s="21"/>
      <c r="G5" s="21" t="s">
        <v>307</v>
      </c>
      <c r="H5" s="21"/>
      <c r="I5" s="21" t="s">
        <v>307</v>
      </c>
      <c r="J5" s="21"/>
      <c r="K5" s="21" t="s">
        <v>307</v>
      </c>
      <c r="L5" s="21"/>
      <c r="M5" s="21" t="s">
        <v>307</v>
      </c>
      <c r="N5" s="21"/>
      <c r="O5" s="21" t="s">
        <v>307</v>
      </c>
    </row>
    <row r="6" spans="3:15" s="2" customFormat="1" ht="15">
      <c r="C6" s="176" t="s">
        <v>500</v>
      </c>
      <c r="D6" s="131"/>
      <c r="E6" s="176" t="s">
        <v>402</v>
      </c>
      <c r="F6" s="131"/>
      <c r="G6" s="176" t="s">
        <v>310</v>
      </c>
      <c r="H6" s="131"/>
      <c r="I6" s="176" t="s">
        <v>360</v>
      </c>
      <c r="J6" s="131"/>
      <c r="K6" s="176" t="s">
        <v>313</v>
      </c>
      <c r="L6" s="131"/>
      <c r="M6" s="176" t="s">
        <v>403</v>
      </c>
      <c r="N6" s="131"/>
      <c r="O6" s="176" t="s">
        <v>314</v>
      </c>
    </row>
    <row r="7" ht="14.25" customHeight="1">
      <c r="A7" s="14"/>
    </row>
    <row r="8" spans="1:15" ht="13.5">
      <c r="A8" s="14"/>
      <c r="B8" s="57" t="s">
        <v>503</v>
      </c>
      <c r="C8" s="116">
        <v>184067</v>
      </c>
      <c r="D8" s="56"/>
      <c r="E8" s="116">
        <v>-91748</v>
      </c>
      <c r="F8" s="56"/>
      <c r="G8" s="116">
        <v>89493</v>
      </c>
      <c r="H8" s="56"/>
      <c r="I8" s="116">
        <v>-83638</v>
      </c>
      <c r="J8" s="56"/>
      <c r="K8" s="116">
        <v>-840032</v>
      </c>
      <c r="L8" s="56"/>
      <c r="M8" s="116">
        <v>128606</v>
      </c>
      <c r="N8" s="56"/>
      <c r="O8" s="116">
        <v>218929</v>
      </c>
    </row>
    <row r="9" spans="1:15" ht="13.5">
      <c r="A9" s="14"/>
      <c r="B9" s="57"/>
      <c r="C9" s="116"/>
      <c r="D9" s="56"/>
      <c r="E9" s="116"/>
      <c r="F9" s="56"/>
      <c r="G9" s="116"/>
      <c r="H9" s="56"/>
      <c r="I9" s="116"/>
      <c r="J9" s="56"/>
      <c r="K9" s="116"/>
      <c r="L9" s="56"/>
      <c r="M9" s="116"/>
      <c r="N9" s="56"/>
      <c r="O9" s="116"/>
    </row>
    <row r="10" spans="1:15" ht="13.5">
      <c r="A10" s="14"/>
      <c r="B10" s="190" t="s">
        <v>491</v>
      </c>
      <c r="C10" s="116"/>
      <c r="D10" s="56"/>
      <c r="E10" s="116"/>
      <c r="F10" s="56"/>
      <c r="G10" s="116"/>
      <c r="H10" s="56"/>
      <c r="I10" s="116"/>
      <c r="J10" s="56"/>
      <c r="K10" s="116"/>
      <c r="L10" s="56"/>
      <c r="M10" s="116"/>
      <c r="N10" s="56"/>
      <c r="O10" s="116"/>
    </row>
    <row r="11" spans="1:15" ht="13.5">
      <c r="A11" s="14"/>
      <c r="B11" s="57" t="s">
        <v>564</v>
      </c>
      <c r="C11" s="96">
        <f>23086+4930</f>
        <v>28016</v>
      </c>
      <c r="E11" s="96">
        <f>110002+51</f>
        <v>110053</v>
      </c>
      <c r="G11" s="96">
        <f>106020+1671</f>
        <v>107691</v>
      </c>
      <c r="I11" s="96">
        <f>63593+7619</f>
        <v>71212</v>
      </c>
      <c r="K11" s="96">
        <f>56081-443</f>
        <v>55638</v>
      </c>
      <c r="M11" s="96">
        <f>36098+384</f>
        <v>36482</v>
      </c>
      <c r="O11" s="96">
        <f>-62535-2024</f>
        <v>-64559</v>
      </c>
    </row>
    <row r="12" spans="1:15" ht="24.75">
      <c r="A12" s="14"/>
      <c r="B12" s="178" t="s">
        <v>597</v>
      </c>
      <c r="C12" s="96">
        <v>-9484</v>
      </c>
      <c r="E12" s="96">
        <v>5134</v>
      </c>
      <c r="G12" s="96">
        <v>9476</v>
      </c>
      <c r="I12" s="96">
        <v>10027</v>
      </c>
      <c r="K12" s="96">
        <v>-5686</v>
      </c>
      <c r="M12" s="96">
        <v>-14442</v>
      </c>
      <c r="O12" s="96">
        <v>-1667</v>
      </c>
    </row>
    <row r="13" spans="1:15" ht="24.75">
      <c r="A13" s="14"/>
      <c r="B13" s="178" t="s">
        <v>26</v>
      </c>
      <c r="C13" s="96">
        <v>14022</v>
      </c>
      <c r="E13" s="96">
        <v>2993</v>
      </c>
      <c r="G13" s="96">
        <v>919</v>
      </c>
      <c r="I13" s="96">
        <v>-216</v>
      </c>
      <c r="K13" s="96">
        <v>11986</v>
      </c>
      <c r="M13" s="96">
        <v>4099</v>
      </c>
      <c r="O13" s="96">
        <v>687</v>
      </c>
    </row>
    <row r="14" spans="1:15" ht="13.5">
      <c r="A14" s="14"/>
      <c r="B14" s="178" t="s">
        <v>598</v>
      </c>
      <c r="C14" s="96">
        <v>0</v>
      </c>
      <c r="E14" s="96">
        <v>0</v>
      </c>
      <c r="G14" s="96">
        <v>0</v>
      </c>
      <c r="I14" s="96">
        <v>0</v>
      </c>
      <c r="K14" s="96">
        <v>14000</v>
      </c>
      <c r="M14" s="96">
        <v>0</v>
      </c>
      <c r="O14" s="96">
        <v>0</v>
      </c>
    </row>
    <row r="15" spans="1:15" ht="13.5">
      <c r="A15" s="14"/>
      <c r="B15" s="57"/>
      <c r="C15" s="96"/>
      <c r="E15" s="96"/>
      <c r="G15" s="96"/>
      <c r="I15" s="96"/>
      <c r="K15" s="96"/>
      <c r="M15" s="96"/>
      <c r="O15" s="96"/>
    </row>
    <row r="16" spans="1:15" ht="14.25" thickBot="1">
      <c r="A16" s="14"/>
      <c r="B16" s="57" t="s">
        <v>509</v>
      </c>
      <c r="C16" s="120">
        <f>C8+C11+C12+C13+C14</f>
        <v>216621</v>
      </c>
      <c r="D16" s="96"/>
      <c r="E16" s="120">
        <f>E8+E11+E12+E13+E14</f>
        <v>26432</v>
      </c>
      <c r="F16" s="96"/>
      <c r="G16" s="120">
        <f>G8+G11+G12+G13+G14</f>
        <v>207579</v>
      </c>
      <c r="H16" s="96"/>
      <c r="I16" s="120">
        <f>I8+I11+I12+I13+I14</f>
        <v>-2615</v>
      </c>
      <c r="J16" s="96"/>
      <c r="K16" s="120">
        <f>K8+K11+K12+K13+K14</f>
        <v>-764094</v>
      </c>
      <c r="L16" s="96"/>
      <c r="M16" s="120">
        <f>M8+M11+M12+M13+M14</f>
        <v>154745</v>
      </c>
      <c r="N16" s="96"/>
      <c r="O16" s="120">
        <f>O8+O11+O12+O13+O14</f>
        <v>153390</v>
      </c>
    </row>
    <row r="17" spans="1:15" ht="14.25" thickTop="1">
      <c r="A17" s="14"/>
      <c r="B17" s="57"/>
      <c r="C17" s="121"/>
      <c r="D17" s="96"/>
      <c r="E17" s="121"/>
      <c r="F17" s="96"/>
      <c r="G17" s="121"/>
      <c r="H17" s="96"/>
      <c r="I17" s="121"/>
      <c r="J17" s="96"/>
      <c r="K17" s="121"/>
      <c r="L17" s="96"/>
      <c r="M17" s="121"/>
      <c r="N17" s="96"/>
      <c r="O17" s="121"/>
    </row>
    <row r="18" spans="1:15" ht="13.5">
      <c r="A18" s="14" t="s">
        <v>521</v>
      </c>
      <c r="B18" s="57"/>
      <c r="C18" s="121"/>
      <c r="D18" s="96"/>
      <c r="E18" s="121"/>
      <c r="F18" s="96"/>
      <c r="G18" s="121"/>
      <c r="H18" s="96"/>
      <c r="I18" s="121"/>
      <c r="J18" s="96"/>
      <c r="K18" s="121"/>
      <c r="L18" s="96"/>
      <c r="M18" s="121"/>
      <c r="N18" s="96"/>
      <c r="O18" s="121"/>
    </row>
    <row r="19" spans="1:15" ht="13.5">
      <c r="A19" s="14"/>
      <c r="B19" s="57" t="s">
        <v>408</v>
      </c>
      <c r="C19" s="122">
        <v>135789897</v>
      </c>
      <c r="D19" s="96"/>
      <c r="E19" s="122">
        <v>135661947</v>
      </c>
      <c r="F19" s="96"/>
      <c r="G19" s="122">
        <v>135119139</v>
      </c>
      <c r="H19" s="96"/>
      <c r="I19" s="122">
        <f>'Financial Highlights- IS'!E21</f>
        <v>135119139</v>
      </c>
      <c r="J19" s="96"/>
      <c r="K19" s="122">
        <v>125431044</v>
      </c>
      <c r="L19" s="96"/>
      <c r="M19" s="122">
        <v>125395807</v>
      </c>
      <c r="N19" s="96"/>
      <c r="O19" s="122">
        <v>124464155</v>
      </c>
    </row>
    <row r="20" spans="1:15" ht="13.5">
      <c r="A20" s="14"/>
      <c r="B20" s="57" t="s">
        <v>544</v>
      </c>
      <c r="C20" s="122">
        <v>137348921</v>
      </c>
      <c r="D20" s="96"/>
      <c r="E20" s="122">
        <v>138230690</v>
      </c>
      <c r="F20" s="96"/>
      <c r="G20" s="122">
        <v>137843313</v>
      </c>
      <c r="H20" s="96"/>
      <c r="I20" s="122">
        <f>'Financial Highlights- IS'!E22</f>
        <v>137843313</v>
      </c>
      <c r="J20" s="96"/>
      <c r="K20" s="122">
        <v>127844713</v>
      </c>
      <c r="L20" s="96"/>
      <c r="M20" s="122">
        <v>127764663</v>
      </c>
      <c r="N20" s="96"/>
      <c r="O20" s="122">
        <v>126782445</v>
      </c>
    </row>
    <row r="21" spans="1:15" ht="13.5">
      <c r="A21" s="14"/>
      <c r="B21" s="57"/>
      <c r="C21" s="121"/>
      <c r="D21" s="96"/>
      <c r="E21" s="121"/>
      <c r="F21" s="96"/>
      <c r="G21" s="121"/>
      <c r="H21" s="96"/>
      <c r="I21" s="121"/>
      <c r="J21" s="96"/>
      <c r="K21" s="121"/>
      <c r="L21" s="96"/>
      <c r="M21" s="121"/>
      <c r="N21" s="96"/>
      <c r="O21" s="121"/>
    </row>
    <row r="22" spans="1:2" ht="13.5">
      <c r="A22" s="14" t="s">
        <v>522</v>
      </c>
      <c r="B22" s="57"/>
    </row>
    <row r="23" spans="2:15" ht="13.5">
      <c r="B23" s="57" t="s">
        <v>565</v>
      </c>
      <c r="C23" s="125">
        <f>C8/(C20/1000)</f>
        <v>1.3401415799982876</v>
      </c>
      <c r="D23" s="31"/>
      <c r="E23" s="125">
        <f>E8/(E19/1000)</f>
        <v>-0.676298711826685</v>
      </c>
      <c r="F23" s="31"/>
      <c r="G23" s="125">
        <f>G8/(G20/1000)</f>
        <v>0.6492371523310674</v>
      </c>
      <c r="H23" s="31"/>
      <c r="I23" s="125">
        <f>I8/(I19/1000)</f>
        <v>-0.6189944712421532</v>
      </c>
      <c r="J23" s="31"/>
      <c r="K23" s="125">
        <f>K8/(K19/1000)</f>
        <v>-6.697161828613976</v>
      </c>
      <c r="L23" s="31"/>
      <c r="M23" s="125">
        <f>M8/(M20/1000)</f>
        <v>1.0065850523943385</v>
      </c>
      <c r="N23" s="31"/>
      <c r="O23" s="125">
        <f>O8/(O20/1000)</f>
        <v>1.7268084709992775</v>
      </c>
    </row>
    <row r="24" spans="2:15" ht="13.5">
      <c r="B24" s="57"/>
      <c r="C24" s="136"/>
      <c r="D24" s="31"/>
      <c r="E24" s="125"/>
      <c r="F24" s="31"/>
      <c r="G24" s="136"/>
      <c r="H24" s="31"/>
      <c r="I24" s="125"/>
      <c r="J24" s="31"/>
      <c r="K24" s="125"/>
      <c r="L24" s="31"/>
      <c r="M24" s="125"/>
      <c r="N24" s="31"/>
      <c r="O24" s="125"/>
    </row>
    <row r="25" spans="2:15" ht="13.5">
      <c r="B25" s="57" t="s">
        <v>491</v>
      </c>
      <c r="C25" s="123"/>
      <c r="D25" s="31"/>
      <c r="E25" s="123"/>
      <c r="F25" s="31"/>
      <c r="G25" s="123"/>
      <c r="H25" s="31"/>
      <c r="I25" s="123"/>
      <c r="J25" s="31"/>
      <c r="K25" s="123"/>
      <c r="L25" s="31"/>
      <c r="M25" s="123"/>
      <c r="N25" s="31"/>
      <c r="O25" s="123"/>
    </row>
    <row r="26" spans="2:15" ht="13.5">
      <c r="B26" s="57" t="s">
        <v>568</v>
      </c>
      <c r="C26" s="124">
        <f>C11/(C20/1000)</f>
        <v>0.2039768481326475</v>
      </c>
      <c r="E26" s="124">
        <f>E11/(E20/1000)</f>
        <v>0.796154602136472</v>
      </c>
      <c r="G26" s="124">
        <f>G11/(G20/1000)</f>
        <v>0.7812566141674206</v>
      </c>
      <c r="I26" s="124">
        <f>I11/(I19/1000)</f>
        <v>0.5270311854192617</v>
      </c>
      <c r="K26" s="124">
        <f>K11/(K19/1000)</f>
        <v>0.4435743993329116</v>
      </c>
      <c r="M26" s="124">
        <f>M11/(M20/1000)</f>
        <v>0.285540611491301</v>
      </c>
      <c r="O26" s="124">
        <f>O11/(O20/1000)</f>
        <v>-0.5092108769475143</v>
      </c>
    </row>
    <row r="27" spans="2:15" ht="24.75">
      <c r="B27" s="178" t="s">
        <v>501</v>
      </c>
      <c r="C27" s="124">
        <f>C12/(C20/1000)</f>
        <v>-0.06905041503747962</v>
      </c>
      <c r="E27" s="124">
        <f>E12/(E20/1000)-0.01</f>
        <v>0.027140811494176867</v>
      </c>
      <c r="G27" s="124">
        <f>G12/(G20/1000)</f>
        <v>0.06874472031878688</v>
      </c>
      <c r="I27" s="124">
        <f>I12/(I19/1000)</f>
        <v>0.0742085841740007</v>
      </c>
      <c r="K27" s="124">
        <f>K12/(K19/1000)</f>
        <v>-0.045331680409197585</v>
      </c>
      <c r="M27" s="124">
        <f>M12/(M20/1000)</f>
        <v>-0.11303594954107146</v>
      </c>
      <c r="O27" s="124">
        <f>O12/(O20/1000)</f>
        <v>-0.01314850806040221</v>
      </c>
    </row>
    <row r="28" spans="2:15" ht="24.75">
      <c r="B28" s="178" t="s">
        <v>26</v>
      </c>
      <c r="C28" s="124">
        <f>C13/(C20/1000)</f>
        <v>0.10209035424457394</v>
      </c>
      <c r="E28" s="124">
        <f>E13/(E20/1000)</f>
        <v>0.021652210518517994</v>
      </c>
      <c r="G28" s="124">
        <f>G13/(G20/1000)</f>
        <v>0.006666990077349636</v>
      </c>
      <c r="I28" s="124">
        <f>I13/(I19/1000)</f>
        <v>-0.0015985892272448539</v>
      </c>
      <c r="K28" s="124">
        <f>K13/(K19/1000)</f>
        <v>0.09555848072188573</v>
      </c>
      <c r="M28" s="124">
        <f>M13/(M20/1000)</f>
        <v>0.03208242329101592</v>
      </c>
      <c r="O28" s="124">
        <f>O13/(O20/1000)</f>
        <v>0.005418731276242542</v>
      </c>
    </row>
    <row r="29" spans="2:15" ht="13.5">
      <c r="B29" s="178" t="s">
        <v>598</v>
      </c>
      <c r="C29" s="124">
        <f>C14/(C20/1000)</f>
        <v>0</v>
      </c>
      <c r="E29" s="124">
        <f>E14/(E20/1000)</f>
        <v>0</v>
      </c>
      <c r="G29" s="124">
        <f>G14/(G20/1000)</f>
        <v>0</v>
      </c>
      <c r="I29" s="124">
        <f>I14/(I19/1000)</f>
        <v>0</v>
      </c>
      <c r="K29" s="124">
        <f>K14/(K19/1000)</f>
        <v>0.11161511180597365</v>
      </c>
      <c r="M29" s="124">
        <f>M14/(M20/1000)</f>
        <v>0</v>
      </c>
      <c r="O29" s="124">
        <f>O14/(O20/1000)</f>
        <v>0</v>
      </c>
    </row>
    <row r="30" ht="13.5">
      <c r="B30" s="57"/>
    </row>
    <row r="31" spans="2:15" ht="14.25" thickBot="1">
      <c r="B31" s="57" t="s">
        <v>509</v>
      </c>
      <c r="C31" s="118">
        <f>SUM(C23:C30)</f>
        <v>1.5771583673380296</v>
      </c>
      <c r="D31" s="119"/>
      <c r="E31" s="118">
        <f>SUM(E23:E30)</f>
        <v>0.1686489123224819</v>
      </c>
      <c r="F31" s="117"/>
      <c r="G31" s="118">
        <f>SUM(G23:G30)</f>
        <v>1.5059054768946247</v>
      </c>
      <c r="I31" s="118">
        <f>SUM(I23:I30)</f>
        <v>-0.01935329087613564</v>
      </c>
      <c r="K31" s="118">
        <f>SUM(K23:K30)</f>
        <v>-6.091745517162402</v>
      </c>
      <c r="M31" s="118">
        <f>SUM(M23:M30)</f>
        <v>1.211172137635584</v>
      </c>
      <c r="O31" s="118">
        <f>SUM(O23:O30)</f>
        <v>1.2098678172676036</v>
      </c>
    </row>
    <row r="32" spans="2:15" ht="14.25" thickTop="1">
      <c r="B32" s="57"/>
      <c r="C32" s="23"/>
      <c r="D32" s="23"/>
      <c r="E32" s="46"/>
      <c r="F32" s="23"/>
      <c r="G32" s="23"/>
      <c r="H32" s="23"/>
      <c r="I32" s="23"/>
      <c r="J32" s="23"/>
      <c r="K32" s="23"/>
      <c r="L32" s="23"/>
      <c r="M32" s="23"/>
      <c r="N32" s="23"/>
      <c r="O32" s="23"/>
    </row>
    <row r="33" spans="2:15" ht="13.5">
      <c r="B33" s="57"/>
      <c r="C33" s="23"/>
      <c r="D33" s="23"/>
      <c r="E33" s="46"/>
      <c r="F33" s="23"/>
      <c r="G33" s="23"/>
      <c r="H33" s="23"/>
      <c r="I33" s="23"/>
      <c r="J33" s="23"/>
      <c r="K33" s="23"/>
      <c r="L33" s="23"/>
      <c r="M33" s="23"/>
      <c r="N33" s="23"/>
      <c r="O33" s="23"/>
    </row>
    <row r="34" spans="2:15" ht="13.5">
      <c r="B34" s="57"/>
      <c r="C34" s="23"/>
      <c r="D34" s="23"/>
      <c r="E34" s="46"/>
      <c r="F34" s="23"/>
      <c r="G34" s="23"/>
      <c r="H34" s="23"/>
      <c r="I34" s="23"/>
      <c r="J34" s="23"/>
      <c r="K34" s="23"/>
      <c r="L34" s="23"/>
      <c r="M34" s="23"/>
      <c r="N34" s="23"/>
      <c r="O34" s="23"/>
    </row>
    <row r="35" spans="1:15" ht="18.75">
      <c r="A35" s="192" t="s">
        <v>599</v>
      </c>
      <c r="B35" s="57"/>
      <c r="D35" s="192"/>
      <c r="E35" s="192"/>
      <c r="F35" s="192"/>
      <c r="G35" s="192"/>
      <c r="H35" s="192"/>
      <c r="I35" s="192"/>
      <c r="J35" s="192"/>
      <c r="K35" s="192"/>
      <c r="L35" s="192"/>
      <c r="M35" s="192"/>
      <c r="N35" s="192"/>
      <c r="O35" s="192"/>
    </row>
    <row r="36" spans="3:15" s="2" customFormat="1" ht="15">
      <c r="C36" s="21" t="s">
        <v>307</v>
      </c>
      <c r="D36" s="21"/>
      <c r="E36" s="21" t="s">
        <v>307</v>
      </c>
      <c r="F36" s="21"/>
      <c r="G36" s="21" t="s">
        <v>307</v>
      </c>
      <c r="H36" s="21"/>
      <c r="I36" s="21" t="s">
        <v>307</v>
      </c>
      <c r="J36" s="21"/>
      <c r="K36" s="21" t="s">
        <v>307</v>
      </c>
      <c r="L36" s="21"/>
      <c r="M36" s="21" t="s">
        <v>307</v>
      </c>
      <c r="N36" s="21"/>
      <c r="O36" s="21" t="s">
        <v>307</v>
      </c>
    </row>
    <row r="37" spans="3:15" s="2" customFormat="1" ht="15">
      <c r="C37" s="176" t="s">
        <v>500</v>
      </c>
      <c r="D37" s="131"/>
      <c r="E37" s="176" t="s">
        <v>402</v>
      </c>
      <c r="F37" s="131"/>
      <c r="G37" s="176" t="s">
        <v>310</v>
      </c>
      <c r="H37" s="131"/>
      <c r="I37" s="176" t="s">
        <v>360</v>
      </c>
      <c r="J37" s="131"/>
      <c r="K37" s="176" t="s">
        <v>313</v>
      </c>
      <c r="L37" s="131"/>
      <c r="M37" s="176" t="s">
        <v>403</v>
      </c>
      <c r="N37" s="131"/>
      <c r="O37" s="176" t="s">
        <v>314</v>
      </c>
    </row>
    <row r="38" ht="14.25" customHeight="1">
      <c r="A38" s="14"/>
    </row>
    <row r="39" spans="1:15" ht="13.5">
      <c r="A39" s="14"/>
      <c r="B39" s="57" t="s">
        <v>503</v>
      </c>
      <c r="C39" s="116">
        <v>184067</v>
      </c>
      <c r="D39" s="56"/>
      <c r="E39" s="116">
        <v>-91748</v>
      </c>
      <c r="F39" s="56"/>
      <c r="G39" s="116">
        <v>89493</v>
      </c>
      <c r="H39" s="56"/>
      <c r="I39" s="116">
        <v>-83638</v>
      </c>
      <c r="J39" s="56"/>
      <c r="K39" s="116">
        <v>-840032</v>
      </c>
      <c r="L39" s="56"/>
      <c r="M39" s="116">
        <v>128606</v>
      </c>
      <c r="N39" s="56"/>
      <c r="O39" s="116">
        <v>218929</v>
      </c>
    </row>
    <row r="40" spans="1:15" ht="13.5">
      <c r="A40" s="14"/>
      <c r="B40" s="57"/>
      <c r="C40" s="116"/>
      <c r="D40" s="56"/>
      <c r="E40" s="116"/>
      <c r="F40" s="56"/>
      <c r="G40" s="116"/>
      <c r="H40" s="56"/>
      <c r="I40" s="116"/>
      <c r="J40" s="56"/>
      <c r="K40" s="116"/>
      <c r="L40" s="56"/>
      <c r="M40" s="116"/>
      <c r="N40" s="56"/>
      <c r="O40" s="116"/>
    </row>
    <row r="41" spans="1:15" ht="13.5">
      <c r="A41" s="14"/>
      <c r="B41" s="190" t="s">
        <v>491</v>
      </c>
      <c r="C41" s="116"/>
      <c r="D41" s="56"/>
      <c r="E41" s="116"/>
      <c r="F41" s="56"/>
      <c r="G41" s="116"/>
      <c r="H41" s="56"/>
      <c r="I41" s="116"/>
      <c r="J41" s="56"/>
      <c r="K41" s="116"/>
      <c r="L41" s="56"/>
      <c r="M41" s="116"/>
      <c r="N41" s="56"/>
      <c r="O41" s="116"/>
    </row>
    <row r="42" spans="1:15" ht="13.5">
      <c r="A42" s="14"/>
      <c r="B42" s="57" t="s">
        <v>564</v>
      </c>
      <c r="C42" s="96">
        <f>23086+4930</f>
        <v>28016</v>
      </c>
      <c r="E42" s="96">
        <f>110002+51</f>
        <v>110053</v>
      </c>
      <c r="G42" s="96">
        <f>106020+1671</f>
        <v>107691</v>
      </c>
      <c r="I42" s="96">
        <f>63593+7619</f>
        <v>71212</v>
      </c>
      <c r="K42" s="96">
        <f>56081-443</f>
        <v>55638</v>
      </c>
      <c r="M42" s="96">
        <f>36098+384</f>
        <v>36482</v>
      </c>
      <c r="O42" s="96">
        <f>-62535-2024</f>
        <v>-64559</v>
      </c>
    </row>
    <row r="43" spans="1:15" ht="24.75">
      <c r="A43" s="14"/>
      <c r="B43" s="178" t="s">
        <v>597</v>
      </c>
      <c r="C43" s="96">
        <v>8898</v>
      </c>
      <c r="E43" s="96">
        <v>6713</v>
      </c>
      <c r="G43" s="96">
        <v>13200</v>
      </c>
      <c r="I43" s="96">
        <v>6284</v>
      </c>
      <c r="K43" s="96">
        <v>8554</v>
      </c>
      <c r="M43" s="96">
        <v>-5026</v>
      </c>
      <c r="O43" s="96">
        <v>2364</v>
      </c>
    </row>
    <row r="44" spans="1:15" ht="13.5">
      <c r="A44" s="14"/>
      <c r="B44" s="178" t="s">
        <v>598</v>
      </c>
      <c r="C44" s="96">
        <v>0</v>
      </c>
      <c r="E44" s="96">
        <v>0</v>
      </c>
      <c r="G44" s="96">
        <v>0</v>
      </c>
      <c r="I44" s="96">
        <v>0</v>
      </c>
      <c r="K44" s="96">
        <v>14000</v>
      </c>
      <c r="M44" s="96">
        <v>0</v>
      </c>
      <c r="O44" s="96">
        <v>0</v>
      </c>
    </row>
    <row r="45" spans="1:15" ht="13.5">
      <c r="A45" s="14"/>
      <c r="B45" s="57"/>
      <c r="C45" s="96"/>
      <c r="E45" s="96"/>
      <c r="G45" s="96"/>
      <c r="I45" s="96"/>
      <c r="K45" s="96"/>
      <c r="M45" s="96"/>
      <c r="O45" s="96"/>
    </row>
    <row r="46" spans="1:15" ht="14.25" thickBot="1">
      <c r="A46" s="14"/>
      <c r="B46" s="57" t="s">
        <v>509</v>
      </c>
      <c r="C46" s="120">
        <f>C39+C42+C43+C44</f>
        <v>220981</v>
      </c>
      <c r="D46" s="96"/>
      <c r="E46" s="120">
        <f>E39+E42+E43+E44</f>
        <v>25018</v>
      </c>
      <c r="F46" s="96"/>
      <c r="G46" s="120">
        <f>G39+G42+G43+G44</f>
        <v>210384</v>
      </c>
      <c r="H46" s="96"/>
      <c r="I46" s="120">
        <f>I39+I42+I43+I44</f>
        <v>-6142</v>
      </c>
      <c r="J46" s="96"/>
      <c r="K46" s="120">
        <f>K39+K42+K43+K44</f>
        <v>-761840</v>
      </c>
      <c r="L46" s="96"/>
      <c r="M46" s="120">
        <f>M39+M42+M43+M44</f>
        <v>160062</v>
      </c>
      <c r="N46" s="96"/>
      <c r="O46" s="120">
        <f>O39+O42+O43+O44</f>
        <v>156734</v>
      </c>
    </row>
    <row r="47" spans="1:15" ht="14.25" thickTop="1">
      <c r="A47" s="14"/>
      <c r="B47" s="57"/>
      <c r="C47" s="121"/>
      <c r="D47" s="96"/>
      <c r="E47" s="121"/>
      <c r="F47" s="96"/>
      <c r="G47" s="121"/>
      <c r="H47" s="96"/>
      <c r="I47" s="121"/>
      <c r="J47" s="96"/>
      <c r="K47" s="121"/>
      <c r="L47" s="96"/>
      <c r="M47" s="121"/>
      <c r="N47" s="96"/>
      <c r="O47" s="121"/>
    </row>
    <row r="48" spans="1:15" ht="13.5">
      <c r="A48" s="14" t="s">
        <v>521</v>
      </c>
      <c r="B48" s="57"/>
      <c r="C48" s="121"/>
      <c r="D48" s="96"/>
      <c r="E48" s="121"/>
      <c r="F48" s="96"/>
      <c r="G48" s="121"/>
      <c r="H48" s="96"/>
      <c r="I48" s="121"/>
      <c r="J48" s="96"/>
      <c r="K48" s="121"/>
      <c r="L48" s="96"/>
      <c r="M48" s="121"/>
      <c r="N48" s="96"/>
      <c r="O48" s="121"/>
    </row>
    <row r="49" spans="1:15" ht="13.5">
      <c r="A49" s="14"/>
      <c r="B49" s="57" t="s">
        <v>408</v>
      </c>
      <c r="C49" s="122">
        <f>C19</f>
        <v>135789897</v>
      </c>
      <c r="D49" s="96"/>
      <c r="E49" s="122">
        <f>E19</f>
        <v>135661947</v>
      </c>
      <c r="F49" s="96"/>
      <c r="G49" s="122">
        <f>G19</f>
        <v>135119139</v>
      </c>
      <c r="H49" s="96"/>
      <c r="I49" s="122">
        <f>I19</f>
        <v>135119139</v>
      </c>
      <c r="J49" s="96"/>
      <c r="K49" s="122">
        <f>K19</f>
        <v>125431044</v>
      </c>
      <c r="L49" s="96"/>
      <c r="M49" s="122">
        <f>M19</f>
        <v>125395807</v>
      </c>
      <c r="N49" s="96"/>
      <c r="O49" s="122">
        <f>O19</f>
        <v>124464155</v>
      </c>
    </row>
    <row r="50" spans="1:15" ht="13.5">
      <c r="A50" s="14"/>
      <c r="B50" s="57" t="s">
        <v>544</v>
      </c>
      <c r="C50" s="122">
        <f>C20</f>
        <v>137348921</v>
      </c>
      <c r="D50" s="96"/>
      <c r="E50" s="122">
        <f>E20</f>
        <v>138230690</v>
      </c>
      <c r="F50" s="96"/>
      <c r="G50" s="122">
        <f>G20</f>
        <v>137843313</v>
      </c>
      <c r="H50" s="96"/>
      <c r="I50" s="122">
        <f>I20</f>
        <v>137843313</v>
      </c>
      <c r="J50" s="96"/>
      <c r="K50" s="122">
        <f>K20</f>
        <v>127844713</v>
      </c>
      <c r="L50" s="96"/>
      <c r="M50" s="122">
        <f>M20</f>
        <v>127764663</v>
      </c>
      <c r="N50" s="96"/>
      <c r="O50" s="122">
        <f>O20</f>
        <v>126782445</v>
      </c>
    </row>
    <row r="51" spans="1:15" ht="13.5">
      <c r="A51" s="14"/>
      <c r="B51" s="57"/>
      <c r="C51" s="121"/>
      <c r="D51" s="96"/>
      <c r="E51" s="121"/>
      <c r="F51" s="96"/>
      <c r="G51" s="121"/>
      <c r="H51" s="96"/>
      <c r="I51" s="121"/>
      <c r="J51" s="96"/>
      <c r="K51" s="121"/>
      <c r="L51" s="96"/>
      <c r="M51" s="121"/>
      <c r="N51" s="96"/>
      <c r="O51" s="121"/>
    </row>
    <row r="52" spans="1:2" ht="13.5">
      <c r="A52" s="14" t="s">
        <v>522</v>
      </c>
      <c r="B52" s="57"/>
    </row>
    <row r="53" spans="2:15" ht="13.5">
      <c r="B53" s="57" t="s">
        <v>565</v>
      </c>
      <c r="C53" s="125">
        <f>C39/(C50/1000)</f>
        <v>1.3401415799982876</v>
      </c>
      <c r="D53" s="31"/>
      <c r="E53" s="125">
        <f>E39/(E49/1000)</f>
        <v>-0.676298711826685</v>
      </c>
      <c r="F53" s="31"/>
      <c r="G53" s="125">
        <f>G39/(G50/1000)</f>
        <v>0.6492371523310674</v>
      </c>
      <c r="H53" s="31"/>
      <c r="I53" s="125">
        <f>I39/(I49/1000)</f>
        <v>-0.6189944712421532</v>
      </c>
      <c r="J53" s="31"/>
      <c r="K53" s="125">
        <f>K39/(K49/1000)</f>
        <v>-6.697161828613976</v>
      </c>
      <c r="L53" s="31"/>
      <c r="M53" s="136">
        <f>M39/(M50/1000)</f>
        <v>1.0065850523943385</v>
      </c>
      <c r="N53" s="31"/>
      <c r="O53" s="125">
        <f>O39/(O50/1000)</f>
        <v>1.7268084709992775</v>
      </c>
    </row>
    <row r="54" spans="2:15" ht="13.5">
      <c r="B54" s="57"/>
      <c r="C54" s="136"/>
      <c r="D54" s="31"/>
      <c r="E54" s="125"/>
      <c r="F54" s="31"/>
      <c r="G54" s="136"/>
      <c r="H54" s="31"/>
      <c r="I54" s="125"/>
      <c r="J54" s="31"/>
      <c r="K54" s="125"/>
      <c r="L54" s="31"/>
      <c r="M54" s="125"/>
      <c r="N54" s="31"/>
      <c r="O54" s="125"/>
    </row>
    <row r="55" spans="2:15" ht="13.5">
      <c r="B55" s="57" t="s">
        <v>491</v>
      </c>
      <c r="C55" s="123"/>
      <c r="D55" s="31"/>
      <c r="E55" s="123"/>
      <c r="F55" s="31"/>
      <c r="G55" s="123"/>
      <c r="H55" s="31"/>
      <c r="I55" s="123"/>
      <c r="J55" s="31"/>
      <c r="K55" s="123"/>
      <c r="L55" s="31"/>
      <c r="M55" s="123"/>
      <c r="N55" s="31"/>
      <c r="O55" s="123"/>
    </row>
    <row r="56" spans="2:15" ht="13.5">
      <c r="B56" s="57" t="s">
        <v>568</v>
      </c>
      <c r="C56" s="124">
        <f>C42/(C50/1000)</f>
        <v>0.2039768481326475</v>
      </c>
      <c r="E56" s="124">
        <f>E42/(E50/1000)</f>
        <v>0.796154602136472</v>
      </c>
      <c r="G56" s="124">
        <f>G42/(G50/1000)</f>
        <v>0.7812566141674206</v>
      </c>
      <c r="I56" s="124">
        <f>I42/(I50/1000)</f>
        <v>0.5166155575497522</v>
      </c>
      <c r="K56" s="124">
        <f>K42/(K50/1000)</f>
        <v>0.4351998506187737</v>
      </c>
      <c r="M56" s="124">
        <f>M42/(M50/1000)</f>
        <v>0.285540611491301</v>
      </c>
      <c r="O56" s="124">
        <f>O42/(O50/1000)</f>
        <v>-0.5092108769475143</v>
      </c>
    </row>
    <row r="57" spans="2:15" ht="24.75">
      <c r="B57" s="178" t="s">
        <v>501</v>
      </c>
      <c r="C57" s="124">
        <f>C43/(C50/1000)</f>
        <v>0.06478390900500776</v>
      </c>
      <c r="E57" s="124">
        <f>E43/(E50/1000)</f>
        <v>0.048563745142269056</v>
      </c>
      <c r="G57" s="124">
        <f>G43/(G50/1000)</f>
        <v>0.09576090209033208</v>
      </c>
      <c r="I57" s="124">
        <f>I43/(I50/1000)</f>
        <v>0.045587993086033854</v>
      </c>
      <c r="K57" s="124">
        <f>K43/(K50/1000)+0.01</f>
        <v>0.07690929800123998</v>
      </c>
      <c r="M57" s="124">
        <f>M43/(M50/1000)</f>
        <v>-0.03933795058810588</v>
      </c>
      <c r="O57" s="124">
        <f>O43/(O50/1000)</f>
        <v>0.018646114609952504</v>
      </c>
    </row>
    <row r="58" spans="2:15" ht="13.5">
      <c r="B58" s="178" t="s">
        <v>598</v>
      </c>
      <c r="C58" s="124">
        <f>C44/(C50/1000)</f>
        <v>0</v>
      </c>
      <c r="E58" s="124">
        <f>E44/(E50/1000)</f>
        <v>0</v>
      </c>
      <c r="G58" s="124">
        <f>G44/(G50/1000)</f>
        <v>0</v>
      </c>
      <c r="I58" s="124">
        <f>I44/(I50/1000)</f>
        <v>0</v>
      </c>
      <c r="K58" s="124">
        <f>K44/(K50/1000)</f>
        <v>0.10950785270252043</v>
      </c>
      <c r="M58" s="124">
        <f>M44/(M50/1000)</f>
        <v>0</v>
      </c>
      <c r="O58" s="124">
        <f>O44/(O50/1000)</f>
        <v>0</v>
      </c>
    </row>
    <row r="59" ht="13.5">
      <c r="B59" s="57"/>
    </row>
    <row r="60" spans="2:15" ht="14.25" thickBot="1">
      <c r="B60" s="57" t="s">
        <v>509</v>
      </c>
      <c r="C60" s="118">
        <f>SUM(C53:C59)</f>
        <v>1.608902337135943</v>
      </c>
      <c r="D60" s="119"/>
      <c r="E60" s="118">
        <f>SUM(E53:E59)</f>
        <v>0.1684196354520561</v>
      </c>
      <c r="F60" s="117"/>
      <c r="G60" s="118">
        <f>SUM(G53:G59)</f>
        <v>1.52625466858882</v>
      </c>
      <c r="I60" s="118">
        <f>SUM(I53:I59)</f>
        <v>-0.05679092060636719</v>
      </c>
      <c r="K60" s="118">
        <f>SUM(K53:K59)+0.001</f>
        <v>-6.074544827291441</v>
      </c>
      <c r="M60" s="118">
        <f>SUM(M53:M59)</f>
        <v>1.2527877132975336</v>
      </c>
      <c r="O60" s="118">
        <f>SUM(O53:O59)</f>
        <v>1.2362437086617157</v>
      </c>
    </row>
    <row r="61" spans="2:15" ht="14.25" thickTop="1">
      <c r="B61" s="57"/>
      <c r="C61" s="23"/>
      <c r="D61" s="23"/>
      <c r="E61" s="46"/>
      <c r="F61" s="23"/>
      <c r="G61" s="23"/>
      <c r="H61" s="23"/>
      <c r="I61" s="23"/>
      <c r="J61" s="23"/>
      <c r="K61" s="23"/>
      <c r="L61" s="23"/>
      <c r="M61" s="23"/>
      <c r="N61" s="23"/>
      <c r="O61" s="23"/>
    </row>
    <row r="62" spans="3:15" ht="13.5">
      <c r="C62" s="23"/>
      <c r="D62" s="23"/>
      <c r="E62" s="23"/>
      <c r="F62" s="23"/>
      <c r="G62" s="23"/>
      <c r="H62" s="23"/>
      <c r="I62" s="23"/>
      <c r="J62" s="23"/>
      <c r="K62" s="23"/>
      <c r="L62" s="23"/>
      <c r="M62" s="23"/>
      <c r="N62" s="23"/>
      <c r="O62" s="23"/>
    </row>
    <row r="63" spans="1:14" ht="15.75">
      <c r="A63" s="14" t="s">
        <v>347</v>
      </c>
      <c r="D63" s="12"/>
      <c r="F63" s="12"/>
      <c r="G63" s="12"/>
      <c r="H63" s="12"/>
      <c r="J63" s="12"/>
      <c r="L63" s="12"/>
      <c r="N63" s="12"/>
    </row>
    <row r="64" spans="1:15" ht="15.75" customHeight="1">
      <c r="A64" s="338" t="s">
        <v>523</v>
      </c>
      <c r="B64" s="338"/>
      <c r="C64" s="338"/>
      <c r="D64" s="338"/>
      <c r="E64" s="338"/>
      <c r="F64" s="338"/>
      <c r="G64" s="338"/>
      <c r="H64" s="338"/>
      <c r="I64" s="338"/>
      <c r="J64"/>
      <c r="K64" s="2"/>
      <c r="L64"/>
      <c r="M64" s="2"/>
      <c r="N64"/>
      <c r="O64" s="2"/>
    </row>
    <row r="65" spans="1:15" ht="15" customHeight="1">
      <c r="A65" s="336" t="s">
        <v>566</v>
      </c>
      <c r="B65" s="336"/>
      <c r="C65" s="336"/>
      <c r="D65" s="336"/>
      <c r="E65" s="336"/>
      <c r="F65" s="336"/>
      <c r="G65" s="336"/>
      <c r="H65" s="336"/>
      <c r="I65" s="336"/>
      <c r="J65" s="336"/>
      <c r="K65" s="336"/>
      <c r="L65" s="336"/>
      <c r="M65" s="336"/>
      <c r="N65" s="336"/>
      <c r="O65" s="336"/>
    </row>
    <row r="66" spans="1:15" ht="15" customHeight="1">
      <c r="A66" s="336"/>
      <c r="B66" s="336"/>
      <c r="C66" s="336"/>
      <c r="D66" s="336"/>
      <c r="E66" s="336"/>
      <c r="F66" s="336"/>
      <c r="G66" s="336"/>
      <c r="H66" s="336"/>
      <c r="I66" s="336"/>
      <c r="J66" s="336"/>
      <c r="K66" s="336"/>
      <c r="L66" s="336"/>
      <c r="M66" s="336"/>
      <c r="N66" s="336"/>
      <c r="O66" s="336"/>
    </row>
    <row r="67" spans="1:15" ht="15" customHeight="1">
      <c r="A67" s="335" t="s">
        <v>297</v>
      </c>
      <c r="B67" s="335"/>
      <c r="C67" s="335"/>
      <c r="D67" s="335"/>
      <c r="E67" s="335"/>
      <c r="F67" s="335"/>
      <c r="G67" s="335"/>
      <c r="H67" s="335"/>
      <c r="I67" s="335"/>
      <c r="J67" s="335"/>
      <c r="K67" s="335"/>
      <c r="L67" s="335"/>
      <c r="M67" s="335"/>
      <c r="N67" s="335"/>
      <c r="O67" s="335"/>
    </row>
    <row r="68" spans="1:15" ht="15" customHeight="1">
      <c r="A68" s="335"/>
      <c r="B68" s="335"/>
      <c r="C68" s="335"/>
      <c r="D68" s="335"/>
      <c r="E68" s="335"/>
      <c r="F68" s="335"/>
      <c r="G68" s="335"/>
      <c r="H68" s="335"/>
      <c r="I68" s="335"/>
      <c r="J68" s="335"/>
      <c r="K68" s="335"/>
      <c r="L68" s="335"/>
      <c r="M68" s="335"/>
      <c r="N68" s="335"/>
      <c r="O68" s="335"/>
    </row>
    <row r="69" spans="1:15" ht="13.5">
      <c r="A69" s="335"/>
      <c r="B69" s="335"/>
      <c r="C69" s="335"/>
      <c r="D69" s="335"/>
      <c r="E69" s="335"/>
      <c r="F69" s="335"/>
      <c r="G69" s="335"/>
      <c r="H69" s="335"/>
      <c r="I69" s="335"/>
      <c r="J69" s="335"/>
      <c r="K69" s="335"/>
      <c r="L69" s="335"/>
      <c r="M69" s="335"/>
      <c r="N69" s="335"/>
      <c r="O69" s="335"/>
    </row>
    <row r="70" spans="1:15" ht="13.5">
      <c r="A70" s="335"/>
      <c r="B70" s="335"/>
      <c r="C70" s="335"/>
      <c r="D70" s="335"/>
      <c r="E70" s="335"/>
      <c r="F70" s="335"/>
      <c r="G70" s="335"/>
      <c r="H70" s="335"/>
      <c r="I70" s="335"/>
      <c r="J70" s="335"/>
      <c r="K70" s="335"/>
      <c r="L70" s="335"/>
      <c r="M70" s="335"/>
      <c r="N70" s="335"/>
      <c r="O70" s="335"/>
    </row>
  </sheetData>
  <mergeCells count="4">
    <mergeCell ref="A1:O2"/>
    <mergeCell ref="A65:O66"/>
    <mergeCell ref="A64:I64"/>
    <mergeCell ref="A67:O70"/>
  </mergeCells>
  <printOptions horizontalCentered="1" verticalCentered="1"/>
  <pageMargins left="0.5" right="0.75" top="0.91" bottom="0.44" header="0.5" footer="0.26"/>
  <pageSetup fitToHeight="1" fitToWidth="1" horizontalDpi="600" verticalDpi="600" orientation="landscape" scale="48" r:id="rId2"/>
  <headerFooter alignWithMargins="0">
    <oddHeader>&amp;L&amp;G&amp;C&amp;"Optima,Bold"&amp;18QUARTERLY EARNINGS AND PER SHARE INFORMATION
&amp;"Optima,Regular"&amp;12(U.S. dollars in thousands, except share and per share amounts)
(Unaudited)</oddHeader>
    <oddFooter>&amp;C&amp;"Optima,Regular"8</oddFooter>
  </headerFooter>
  <legacyDrawingHF r:id="rId1"/>
</worksheet>
</file>

<file path=xl/worksheets/sheet13.xml><?xml version="1.0" encoding="utf-8"?>
<worksheet xmlns="http://schemas.openxmlformats.org/spreadsheetml/2006/main" xmlns:r="http://schemas.openxmlformats.org/officeDocument/2006/relationships">
  <sheetPr codeName="Sheet11"/>
  <dimension ref="A1:L72"/>
  <sheetViews>
    <sheetView workbookViewId="0" topLeftCell="A32">
      <selection activeCell="A53" sqref="A53:K54"/>
    </sheetView>
  </sheetViews>
  <sheetFormatPr defaultColWidth="9.140625" defaultRowHeight="12.75"/>
  <cols>
    <col min="1" max="1" width="3.57421875" style="1" customWidth="1"/>
    <col min="2" max="2" width="27.7109375" style="0" customWidth="1"/>
    <col min="3" max="3" width="16.7109375" style="1" customWidth="1"/>
    <col min="4" max="4" width="3.28125" style="1" customWidth="1"/>
    <col min="5" max="5" width="16.7109375" style="1" customWidth="1"/>
    <col min="6" max="6" width="3.28125" style="1" customWidth="1"/>
    <col min="7" max="7" width="16.7109375" style="1" customWidth="1"/>
    <col min="8" max="8" width="3.28125" style="1" customWidth="1"/>
    <col min="9" max="9" width="16.7109375" style="1" customWidth="1"/>
    <col min="10" max="10" width="3.28125" style="1" customWidth="1"/>
    <col min="11" max="11" width="16.7109375" style="1" customWidth="1"/>
    <col min="12" max="12" width="11.28125" style="1" bestFit="1" customWidth="1"/>
    <col min="13" max="16384" width="9.140625" style="1" customWidth="1"/>
  </cols>
  <sheetData>
    <row r="1" spans="3:11" ht="15">
      <c r="C1" s="127"/>
      <c r="D1" s="127"/>
      <c r="E1" s="127"/>
      <c r="F1" s="127"/>
      <c r="G1" s="21" t="s">
        <v>389</v>
      </c>
      <c r="H1" s="21"/>
      <c r="I1" s="21" t="s">
        <v>391</v>
      </c>
      <c r="J1" s="21"/>
      <c r="K1" s="127"/>
    </row>
    <row r="2" spans="3:11" ht="15">
      <c r="C2" s="127"/>
      <c r="D2" s="127"/>
      <c r="E2" s="127"/>
      <c r="F2" s="127"/>
      <c r="G2" s="21" t="s">
        <v>390</v>
      </c>
      <c r="H2" s="21"/>
      <c r="I2" s="21" t="s">
        <v>392</v>
      </c>
      <c r="J2" s="21"/>
      <c r="K2" s="127"/>
    </row>
    <row r="3" spans="3:11" ht="15">
      <c r="C3" s="21" t="s">
        <v>387</v>
      </c>
      <c r="D3" s="21"/>
      <c r="E3" s="21" t="s">
        <v>388</v>
      </c>
      <c r="F3" s="21"/>
      <c r="G3" s="21" t="s">
        <v>388</v>
      </c>
      <c r="H3" s="21"/>
      <c r="I3" s="21" t="s">
        <v>393</v>
      </c>
      <c r="J3" s="21"/>
      <c r="K3" s="21" t="s">
        <v>394</v>
      </c>
    </row>
    <row r="4" spans="3:11" ht="15">
      <c r="C4" s="21"/>
      <c r="D4" s="21"/>
      <c r="E4" s="21"/>
      <c r="F4" s="21"/>
      <c r="G4" s="21"/>
      <c r="H4" s="21"/>
      <c r="I4" s="36" t="s">
        <v>588</v>
      </c>
      <c r="J4" s="21"/>
      <c r="K4" s="21"/>
    </row>
    <row r="5" ht="15">
      <c r="A5" s="9" t="s">
        <v>419</v>
      </c>
    </row>
    <row r="6" spans="1:11" ht="13.5">
      <c r="A6" s="1" t="s">
        <v>404</v>
      </c>
      <c r="C6" s="26">
        <v>1477254</v>
      </c>
      <c r="D6" s="26"/>
      <c r="E6" s="26">
        <v>1513795</v>
      </c>
      <c r="F6" s="26"/>
      <c r="G6" s="26">
        <f>+E6+C6</f>
        <v>2991049</v>
      </c>
      <c r="H6" s="26"/>
      <c r="I6" s="26">
        <v>44766</v>
      </c>
      <c r="J6" s="26"/>
      <c r="K6" s="26">
        <f>+G6+I6</f>
        <v>3035815</v>
      </c>
    </row>
    <row r="7" spans="1:11" ht="13.5">
      <c r="A7" s="1" t="s">
        <v>405</v>
      </c>
      <c r="C7" s="26">
        <v>1088405</v>
      </c>
      <c r="D7" s="26"/>
      <c r="E7" s="26">
        <v>1259370</v>
      </c>
      <c r="F7" s="26"/>
      <c r="G7" s="26">
        <f>+E7+C7</f>
        <v>2347775</v>
      </c>
      <c r="H7" s="26"/>
      <c r="I7" s="26">
        <v>43996</v>
      </c>
      <c r="J7" s="26"/>
      <c r="K7" s="26">
        <f>+G7+I7</f>
        <v>2391771</v>
      </c>
    </row>
    <row r="8" ht="6.75" customHeight="1"/>
    <row r="9" spans="1:11" ht="13.5">
      <c r="A9" s="1" t="s">
        <v>406</v>
      </c>
      <c r="C9" s="26">
        <v>881227</v>
      </c>
      <c r="D9" s="26"/>
      <c r="E9" s="26">
        <v>550660</v>
      </c>
      <c r="F9" s="26"/>
      <c r="G9" s="26">
        <f>+C9+E9</f>
        <v>1431887</v>
      </c>
      <c r="H9" s="26"/>
      <c r="I9" s="26">
        <v>26973</v>
      </c>
      <c r="J9" s="26"/>
      <c r="K9" s="26">
        <f>+G9+I9</f>
        <v>1458860</v>
      </c>
    </row>
    <row r="10" spans="1:12" ht="13.5">
      <c r="A10" s="1" t="s">
        <v>395</v>
      </c>
      <c r="C10" s="18">
        <v>2148</v>
      </c>
      <c r="D10" s="26"/>
      <c r="E10" s="18">
        <v>11450</v>
      </c>
      <c r="F10" s="18"/>
      <c r="G10" s="18">
        <f>+C10+E10</f>
        <v>13598</v>
      </c>
      <c r="H10" s="18"/>
      <c r="I10" s="18">
        <v>-1342</v>
      </c>
      <c r="J10" s="18"/>
      <c r="K10" s="18">
        <f>+G10+I10</f>
        <v>12256</v>
      </c>
      <c r="L10" s="33"/>
    </row>
    <row r="11" spans="3:11" ht="6.75" customHeight="1">
      <c r="C11" s="18"/>
      <c r="D11" s="26"/>
      <c r="E11" s="18"/>
      <c r="F11" s="18"/>
      <c r="G11" s="18"/>
      <c r="H11" s="18"/>
      <c r="I11" s="18"/>
      <c r="J11" s="18"/>
      <c r="K11" s="18"/>
    </row>
    <row r="12" spans="1:11" ht="13.5">
      <c r="A12" s="1" t="s">
        <v>396</v>
      </c>
      <c r="C12" s="18">
        <v>521285</v>
      </c>
      <c r="D12" s="26"/>
      <c r="E12" s="18">
        <v>350506</v>
      </c>
      <c r="F12" s="18"/>
      <c r="G12" s="18">
        <f>+C12+E12</f>
        <v>871791</v>
      </c>
      <c r="H12" s="18"/>
      <c r="I12" s="18">
        <v>13463</v>
      </c>
      <c r="J12" s="18"/>
      <c r="K12" s="18">
        <f>+G12+I12</f>
        <v>885254</v>
      </c>
    </row>
    <row r="13" spans="1:11" ht="13.5">
      <c r="A13" s="1" t="s">
        <v>397</v>
      </c>
      <c r="C13" s="18">
        <v>124450</v>
      </c>
      <c r="D13" s="26"/>
      <c r="E13" s="18">
        <v>104649</v>
      </c>
      <c r="F13" s="18"/>
      <c r="G13" s="18">
        <f>+C13+E13</f>
        <v>229099</v>
      </c>
      <c r="H13" s="18"/>
      <c r="I13" s="18">
        <v>3203</v>
      </c>
      <c r="J13" s="18"/>
      <c r="K13" s="18">
        <f>+G13+I13</f>
        <v>232302</v>
      </c>
    </row>
    <row r="14" spans="1:11" ht="13.5">
      <c r="A14" s="1" t="s">
        <v>524</v>
      </c>
      <c r="C14" s="18">
        <v>98096</v>
      </c>
      <c r="D14" s="26"/>
      <c r="E14" s="18">
        <v>34560</v>
      </c>
      <c r="F14" s="18"/>
      <c r="G14" s="18">
        <f>+C14+E14</f>
        <v>132656</v>
      </c>
      <c r="H14" s="18"/>
      <c r="I14" s="18">
        <v>20157</v>
      </c>
      <c r="J14" s="18"/>
      <c r="K14" s="18">
        <f>+G14+I14</f>
        <v>152813</v>
      </c>
    </row>
    <row r="15" spans="1:11" ht="13.5">
      <c r="A15" s="1" t="s">
        <v>569</v>
      </c>
      <c r="C15" s="171">
        <v>7717</v>
      </c>
      <c r="D15" s="26"/>
      <c r="E15" s="18">
        <f>-10419</f>
        <v>-10419</v>
      </c>
      <c r="G15" s="18">
        <f>+C15+E15</f>
        <v>-2702</v>
      </c>
      <c r="H15" s="18"/>
      <c r="I15" s="18">
        <v>0</v>
      </c>
      <c r="J15" s="26"/>
      <c r="K15" s="18">
        <f>+G15+I15</f>
        <v>-2702</v>
      </c>
    </row>
    <row r="16" spans="4:10" ht="13.5">
      <c r="D16" s="26"/>
      <c r="H16" s="18"/>
      <c r="J16" s="26"/>
    </row>
    <row r="17" spans="1:11" ht="13.5">
      <c r="A17" s="1" t="s">
        <v>342</v>
      </c>
      <c r="C17" s="30">
        <f>+C9+C10-C12-C13-C14-C15</f>
        <v>131827</v>
      </c>
      <c r="D17" s="26"/>
      <c r="E17" s="30">
        <f>+E9+E10-E12-E13-E14-E15</f>
        <v>82814</v>
      </c>
      <c r="G17" s="30">
        <f>+G9+G10-G12-G13-G14-G15</f>
        <v>214641</v>
      </c>
      <c r="H17" s="18"/>
      <c r="I17" s="30">
        <f>+I9+I10-I12-I13-I14-I15</f>
        <v>-11192</v>
      </c>
      <c r="J17" s="26"/>
      <c r="K17" s="30">
        <f>+K9+K10-K12-K13-K14-K15</f>
        <v>203449</v>
      </c>
    </row>
    <row r="18" spans="4:10" ht="13.5">
      <c r="D18" s="26"/>
      <c r="H18" s="18"/>
      <c r="J18" s="26"/>
    </row>
    <row r="19" spans="1:10" ht="15">
      <c r="A19" s="9" t="s">
        <v>418</v>
      </c>
      <c r="H19" s="18"/>
      <c r="J19" s="26"/>
    </row>
    <row r="20" spans="1:11" ht="13.5">
      <c r="A20" s="1" t="s">
        <v>404</v>
      </c>
      <c r="C20" s="31">
        <v>0</v>
      </c>
      <c r="D20" s="31"/>
      <c r="E20" s="26">
        <v>93137</v>
      </c>
      <c r="G20" s="26">
        <f>+C20+E20</f>
        <v>93137</v>
      </c>
      <c r="H20" s="18"/>
      <c r="I20" s="26">
        <v>18187</v>
      </c>
      <c r="J20" s="26"/>
      <c r="K20" s="26">
        <f>+G20+I20</f>
        <v>111324</v>
      </c>
    </row>
    <row r="21" spans="1:11" ht="13.5">
      <c r="A21" s="1" t="s">
        <v>405</v>
      </c>
      <c r="C21" s="31">
        <v>0</v>
      </c>
      <c r="E21" s="26">
        <v>86189</v>
      </c>
      <c r="G21" s="26">
        <f>+C21+E21</f>
        <v>86189</v>
      </c>
      <c r="H21" s="26"/>
      <c r="I21" s="26">
        <v>11124</v>
      </c>
      <c r="J21" s="26"/>
      <c r="K21" s="26">
        <f>+G21+I21</f>
        <v>97313</v>
      </c>
    </row>
    <row r="22" ht="6.75" customHeight="1">
      <c r="J22" s="26"/>
    </row>
    <row r="23" spans="1:11" ht="13.5">
      <c r="A23" s="1" t="s">
        <v>406</v>
      </c>
      <c r="C23" s="31">
        <v>0</v>
      </c>
      <c r="E23" s="26">
        <v>83237</v>
      </c>
      <c r="G23" s="26">
        <f>+C23+E23</f>
        <v>83237</v>
      </c>
      <c r="H23" s="26"/>
      <c r="I23" s="26">
        <v>9534</v>
      </c>
      <c r="J23" s="26"/>
      <c r="K23" s="26">
        <f>+G23+I23</f>
        <v>92771</v>
      </c>
    </row>
    <row r="24" spans="1:11" ht="13.5">
      <c r="A24" s="1" t="s">
        <v>395</v>
      </c>
      <c r="C24" s="18">
        <v>0</v>
      </c>
      <c r="E24" s="18">
        <v>0</v>
      </c>
      <c r="G24" s="18">
        <f aca="true" t="shared" si="0" ref="G24:G30">+C24+E24</f>
        <v>0</v>
      </c>
      <c r="H24" s="18"/>
      <c r="I24" s="18">
        <v>21</v>
      </c>
      <c r="J24" s="26"/>
      <c r="K24" s="18">
        <f aca="true" t="shared" si="1" ref="K24:K30">+G24+I24</f>
        <v>21</v>
      </c>
    </row>
    <row r="25" spans="5:11" ht="6.75" customHeight="1">
      <c r="E25" s="18"/>
      <c r="G25" s="18"/>
      <c r="H25" s="18"/>
      <c r="I25" s="18"/>
      <c r="J25" s="26"/>
      <c r="K25" s="18"/>
    </row>
    <row r="26" spans="1:11" ht="13.5">
      <c r="A26" s="1" t="s">
        <v>129</v>
      </c>
      <c r="C26" s="18">
        <v>0</v>
      </c>
      <c r="E26" s="18">
        <v>110472</v>
      </c>
      <c r="G26" s="18">
        <f t="shared" si="0"/>
        <v>110472</v>
      </c>
      <c r="H26" s="18"/>
      <c r="I26" s="18">
        <v>9086</v>
      </c>
      <c r="J26" s="26"/>
      <c r="K26" s="18">
        <f t="shared" si="1"/>
        <v>119558</v>
      </c>
    </row>
    <row r="27" spans="1:11" ht="13.5">
      <c r="A27" s="1" t="s">
        <v>397</v>
      </c>
      <c r="C27" s="18">
        <v>0</v>
      </c>
      <c r="E27" s="18">
        <v>6953</v>
      </c>
      <c r="G27" s="18">
        <f t="shared" si="0"/>
        <v>6953</v>
      </c>
      <c r="H27" s="18"/>
      <c r="I27" s="18">
        <v>1057</v>
      </c>
      <c r="J27" s="26"/>
      <c r="K27" s="18">
        <f t="shared" si="1"/>
        <v>8010</v>
      </c>
    </row>
    <row r="28" spans="1:11" ht="13.5">
      <c r="A28" s="1" t="s">
        <v>524</v>
      </c>
      <c r="C28" s="18">
        <v>0</v>
      </c>
      <c r="E28" s="18">
        <v>2265</v>
      </c>
      <c r="G28" s="18">
        <f t="shared" si="0"/>
        <v>2265</v>
      </c>
      <c r="H28" s="18"/>
      <c r="I28" s="18">
        <v>2433</v>
      </c>
      <c r="J28" s="26"/>
      <c r="K28" s="18">
        <f t="shared" si="1"/>
        <v>4698</v>
      </c>
    </row>
    <row r="29" spans="7:11" ht="6.75" customHeight="1">
      <c r="G29" s="18"/>
      <c r="H29" s="18"/>
      <c r="J29" s="26"/>
      <c r="K29" s="18"/>
    </row>
    <row r="30" spans="1:11" ht="13.5">
      <c r="A30" s="1" t="s">
        <v>401</v>
      </c>
      <c r="C30" s="18">
        <v>0</v>
      </c>
      <c r="D30" s="18"/>
      <c r="E30" s="18">
        <v>31548</v>
      </c>
      <c r="G30" s="18">
        <f t="shared" si="0"/>
        <v>31548</v>
      </c>
      <c r="H30" s="89"/>
      <c r="I30" s="18">
        <v>3775</v>
      </c>
      <c r="J30" s="26"/>
      <c r="K30" s="18">
        <f t="shared" si="1"/>
        <v>35323</v>
      </c>
    </row>
    <row r="31" spans="1:11" ht="13.5">
      <c r="A31" s="1" t="s">
        <v>294</v>
      </c>
      <c r="C31" s="30">
        <f>+C23-C26-C27-C28+C30+C24</f>
        <v>0</v>
      </c>
      <c r="E31" s="30">
        <f>+E23-E26-E27-E28+E30+E24</f>
        <v>-4905</v>
      </c>
      <c r="G31" s="30">
        <f>+G23-G26-G27-G28+G30+G24</f>
        <v>-4905</v>
      </c>
      <c r="H31" s="17"/>
      <c r="I31" s="30">
        <f>+I23-I26-I27-I28+I30+I24</f>
        <v>754</v>
      </c>
      <c r="J31" s="26"/>
      <c r="K31" s="30">
        <f>+K23-K26-K27-K28+K30+K24</f>
        <v>-4151</v>
      </c>
    </row>
    <row r="32" spans="8:10" ht="13.5">
      <c r="H32" s="56"/>
      <c r="J32" s="26"/>
    </row>
    <row r="33" spans="1:11" ht="13.5">
      <c r="A33" s="1" t="s">
        <v>376</v>
      </c>
      <c r="J33" s="26"/>
      <c r="K33" s="23">
        <f>'Inc Stmt Qtr 03'!C11</f>
        <v>156581</v>
      </c>
    </row>
    <row r="34" spans="1:10" ht="13.5">
      <c r="A34" s="1" t="s">
        <v>295</v>
      </c>
      <c r="B34" s="24"/>
      <c r="J34" s="26"/>
    </row>
    <row r="35" spans="1:11" ht="13.5">
      <c r="A35" s="1" t="s">
        <v>463</v>
      </c>
      <c r="B35" s="24"/>
      <c r="J35" s="26"/>
      <c r="K35" s="23"/>
    </row>
    <row r="36" spans="1:11" ht="13.5">
      <c r="A36" s="1" t="s">
        <v>464</v>
      </c>
      <c r="B36" s="24"/>
      <c r="J36" s="26"/>
      <c r="K36" s="23">
        <f>'Inc Stmt Qtr 03'!C13+'Inc Stmt Qtr 03'!C14</f>
        <v>9830</v>
      </c>
    </row>
    <row r="37" spans="1:10" ht="13.5">
      <c r="A37" s="1" t="s">
        <v>296</v>
      </c>
      <c r="B37" s="24"/>
      <c r="J37" s="26"/>
    </row>
    <row r="38" spans="1:11" ht="13.5">
      <c r="A38" s="1" t="s">
        <v>3</v>
      </c>
      <c r="B38" s="24"/>
      <c r="J38" s="26"/>
      <c r="K38" s="23"/>
    </row>
    <row r="39" spans="1:11" ht="13.5">
      <c r="A39" s="1" t="s">
        <v>467</v>
      </c>
      <c r="B39" s="24"/>
      <c r="J39" s="26"/>
      <c r="K39" s="23">
        <f>'Inc Stmt Qtr 03'!C15-'Inc Stmt Qtr 03'!C33</f>
        <v>-14289</v>
      </c>
    </row>
    <row r="40" spans="1:11" ht="13.5">
      <c r="A40" s="1" t="s">
        <v>525</v>
      </c>
      <c r="B40" s="24"/>
      <c r="J40" s="26"/>
      <c r="K40" s="23">
        <v>33008</v>
      </c>
    </row>
    <row r="41" spans="1:11" ht="13.5">
      <c r="A41" s="1" t="s">
        <v>482</v>
      </c>
      <c r="J41" s="26"/>
      <c r="K41" s="23">
        <f>'Inc Stmt Qtr 03'!C25+'Inc Stmt Qtr 03'!C26+'Inc Stmt Qtr 03'!C31+'Inc Stmt Qtr 03'!C32</f>
        <v>68407</v>
      </c>
    </row>
    <row r="42" spans="1:11" ht="14.25" thickBot="1">
      <c r="A42" s="14" t="s">
        <v>386</v>
      </c>
      <c r="J42" s="26"/>
      <c r="K42" s="35">
        <f>+K31+K33+K36+K39-K40-K41+K17</f>
        <v>250005</v>
      </c>
    </row>
    <row r="43" spans="10:11" ht="14.25" thickTop="1">
      <c r="J43" s="26"/>
      <c r="K43" s="23"/>
    </row>
    <row r="44" spans="1:11" ht="13.5">
      <c r="A44" s="14" t="s">
        <v>527</v>
      </c>
      <c r="J44" s="26"/>
      <c r="K44" s="23"/>
    </row>
    <row r="45" spans="1:10" ht="13.5">
      <c r="A45" s="1" t="s">
        <v>343</v>
      </c>
      <c r="C45" s="32">
        <f>+C12/C9</f>
        <v>0.5915445169065405</v>
      </c>
      <c r="D45" s="32"/>
      <c r="E45" s="32">
        <f>+E12/E9</f>
        <v>0.6365198125885301</v>
      </c>
      <c r="G45" s="32">
        <f>+G12/G9</f>
        <v>0.6088406417545519</v>
      </c>
      <c r="H45" s="32"/>
      <c r="J45" s="26"/>
    </row>
    <row r="46" spans="1:10" ht="13.5">
      <c r="A46" s="1" t="s">
        <v>494</v>
      </c>
      <c r="C46" s="32">
        <f>(+(C14+C13)/C9)-0.001</f>
        <v>0.2515410592276451</v>
      </c>
      <c r="D46" s="32"/>
      <c r="E46" s="32">
        <f>+(E14+E13)/E9-0.001</f>
        <v>0.2518039080376276</v>
      </c>
      <c r="G46" s="32">
        <f>+(G14+G13)/G9-0.001</f>
        <v>0.2516421428506579</v>
      </c>
      <c r="H46" s="32"/>
      <c r="J46" s="26"/>
    </row>
    <row r="47" spans="1:10" ht="14.25" thickBot="1">
      <c r="A47" s="1" t="s">
        <v>346</v>
      </c>
      <c r="C47" s="39">
        <f>+C45+C46+0.001</f>
        <v>0.8440855761341856</v>
      </c>
      <c r="D47" s="40"/>
      <c r="E47" s="39">
        <f>+E45+E46+0.001</f>
        <v>0.8893237206261576</v>
      </c>
      <c r="G47" s="39">
        <f>+G45+G46+0.001</f>
        <v>0.8614827846052098</v>
      </c>
      <c r="H47" s="40"/>
      <c r="J47" s="26"/>
    </row>
    <row r="48" ht="14.25" thickTop="1">
      <c r="J48" s="26"/>
    </row>
    <row r="49" spans="1:10" ht="13.5">
      <c r="A49" s="14" t="s">
        <v>347</v>
      </c>
      <c r="J49" s="26"/>
    </row>
    <row r="50" spans="1:10" ht="13.5">
      <c r="A50" s="1" t="s">
        <v>526</v>
      </c>
      <c r="J50" s="26"/>
    </row>
    <row r="51" spans="1:11" ht="13.5">
      <c r="A51" s="332" t="s">
        <v>543</v>
      </c>
      <c r="B51" s="332"/>
      <c r="C51" s="332"/>
      <c r="D51" s="332"/>
      <c r="E51" s="332"/>
      <c r="F51" s="332"/>
      <c r="G51" s="332"/>
      <c r="H51" s="332"/>
      <c r="I51" s="332"/>
      <c r="J51" s="332"/>
      <c r="K51" s="332"/>
    </row>
    <row r="52" spans="1:11" ht="13.5">
      <c r="A52" s="332"/>
      <c r="B52" s="332"/>
      <c r="C52" s="332"/>
      <c r="D52" s="332"/>
      <c r="E52" s="332"/>
      <c r="F52" s="332"/>
      <c r="G52" s="332"/>
      <c r="H52" s="332"/>
      <c r="I52" s="332"/>
      <c r="J52" s="332"/>
      <c r="K52" s="332"/>
    </row>
    <row r="53" spans="1:11" ht="13.5" customHeight="1">
      <c r="A53" s="335" t="s">
        <v>177</v>
      </c>
      <c r="B53" s="335"/>
      <c r="C53" s="335"/>
      <c r="D53" s="335"/>
      <c r="E53" s="335"/>
      <c r="F53" s="335"/>
      <c r="G53" s="335"/>
      <c r="H53" s="335"/>
      <c r="I53" s="335"/>
      <c r="J53" s="335"/>
      <c r="K53" s="335"/>
    </row>
    <row r="54" spans="1:11" ht="13.5">
      <c r="A54" s="335"/>
      <c r="B54" s="335"/>
      <c r="C54" s="335"/>
      <c r="D54" s="335"/>
      <c r="E54" s="335"/>
      <c r="F54" s="335"/>
      <c r="G54" s="335"/>
      <c r="H54" s="335"/>
      <c r="I54" s="335"/>
      <c r="J54" s="335"/>
      <c r="K54" s="335"/>
    </row>
    <row r="55" ht="13.5">
      <c r="J55" s="26"/>
    </row>
    <row r="56" ht="13.5">
      <c r="J56" s="26"/>
    </row>
    <row r="57" ht="13.5">
      <c r="J57" s="26"/>
    </row>
    <row r="58" ht="13.5">
      <c r="J58" s="26"/>
    </row>
    <row r="59" ht="13.5">
      <c r="J59" s="26"/>
    </row>
    <row r="60" ht="13.5">
      <c r="J60" s="26"/>
    </row>
    <row r="61" ht="13.5">
      <c r="J61" s="26"/>
    </row>
    <row r="62" ht="13.5">
      <c r="J62" s="26"/>
    </row>
    <row r="63" ht="13.5">
      <c r="J63" s="26"/>
    </row>
    <row r="64" ht="13.5">
      <c r="J64" s="26"/>
    </row>
    <row r="65" ht="13.5">
      <c r="J65" s="26"/>
    </row>
    <row r="66" ht="13.5">
      <c r="J66" s="26"/>
    </row>
    <row r="67" ht="13.5">
      <c r="J67" s="26"/>
    </row>
    <row r="68" ht="13.5">
      <c r="J68" s="26"/>
    </row>
    <row r="69" ht="13.5">
      <c r="J69" s="26"/>
    </row>
    <row r="70" ht="13.5">
      <c r="J70" s="26"/>
    </row>
    <row r="71" ht="13.5">
      <c r="J71" s="26"/>
    </row>
    <row r="72" ht="13.5">
      <c r="J72" s="26"/>
    </row>
  </sheetData>
  <mergeCells count="2">
    <mergeCell ref="A51:K52"/>
    <mergeCell ref="A53:K54"/>
  </mergeCells>
  <printOptions horizontalCentered="1" verticalCentered="1"/>
  <pageMargins left="0.75" right="0.75" top="1.09" bottom="0.6" header="0.5" footer="0.5"/>
  <pageSetup horizontalDpi="600" verticalDpi="600" orientation="landscape" scale="70" r:id="rId2"/>
  <headerFooter alignWithMargins="0">
    <oddHeader>&amp;L&amp;G&amp;C&amp;"Optima,Bold"&amp;18SEGMENT INFORMATION
&amp;16FOR THE QUARTER ENDED MARCH 31, 2003
&amp;"Optima,Regular"&amp;12(U.S. dollars in thousands)
(Unaudited)</oddHeader>
    <oddFooter>&amp;C&amp;"Optima,Regular"10</oddFooter>
  </headerFooter>
  <legacyDrawingHF r:id="rId1"/>
</worksheet>
</file>

<file path=xl/worksheets/sheet14.xml><?xml version="1.0" encoding="utf-8"?>
<worksheet xmlns="http://schemas.openxmlformats.org/spreadsheetml/2006/main" xmlns:r="http://schemas.openxmlformats.org/officeDocument/2006/relationships">
  <sheetPr codeName="Sheet15">
    <pageSetUpPr fitToPage="1"/>
  </sheetPr>
  <dimension ref="A1:AE72"/>
  <sheetViews>
    <sheetView workbookViewId="0" topLeftCell="A1">
      <selection activeCell="A2" sqref="A2:AE2"/>
    </sheetView>
  </sheetViews>
  <sheetFormatPr defaultColWidth="9.140625" defaultRowHeight="12.75"/>
  <cols>
    <col min="1" max="1" width="3.57421875" style="1" customWidth="1"/>
    <col min="2" max="2" width="18.421875" style="0" customWidth="1"/>
    <col min="3" max="3" width="11.57421875" style="1" customWidth="1"/>
    <col min="4" max="4" width="1.421875" style="56" customWidth="1"/>
    <col min="5" max="5" width="13.421875" style="1" customWidth="1"/>
    <col min="6" max="6" width="1.57421875" style="1" customWidth="1"/>
    <col min="7" max="7" width="13.8515625" style="1" customWidth="1"/>
    <col min="8" max="8" width="1.421875" style="1" customWidth="1"/>
    <col min="9" max="9" width="13.28125" style="1" customWidth="1"/>
    <col min="10" max="10" width="1.421875" style="1" customWidth="1"/>
    <col min="11" max="11" width="11.8515625" style="1" customWidth="1"/>
    <col min="12" max="12" width="6.7109375" style="1" customWidth="1"/>
    <col min="13" max="13" width="11.57421875" style="1" customWidth="1"/>
    <col min="14" max="14" width="1.421875" style="56" customWidth="1"/>
    <col min="15" max="15" width="13.421875" style="1" customWidth="1"/>
    <col min="16" max="16" width="1.57421875" style="1" customWidth="1"/>
    <col min="17" max="17" width="13.8515625" style="1" customWidth="1"/>
    <col min="18" max="18" width="1.421875" style="1" customWidth="1"/>
    <col min="19" max="19" width="13.28125" style="1" customWidth="1"/>
    <col min="20" max="20" width="1.421875" style="1" customWidth="1"/>
    <col min="21" max="21" width="11.8515625" style="1" customWidth="1"/>
    <col min="22" max="22" width="6.7109375" style="1" customWidth="1"/>
    <col min="23" max="23" width="11.57421875" style="1" customWidth="1"/>
    <col min="24" max="24" width="1.421875" style="56" customWidth="1"/>
    <col min="25" max="25" width="13.421875" style="1" customWidth="1"/>
    <col min="26" max="26" width="1.57421875" style="1" customWidth="1"/>
    <col min="27" max="27" width="13.8515625" style="1" customWidth="1"/>
    <col min="28" max="28" width="1.421875" style="1" customWidth="1"/>
    <col min="29" max="29" width="13.28125" style="1" customWidth="1"/>
    <col min="30" max="30" width="1.421875" style="1" customWidth="1"/>
    <col min="31" max="31" width="11.8515625" style="1" customWidth="1"/>
    <col min="32" max="16384" width="9.140625" style="1" customWidth="1"/>
  </cols>
  <sheetData>
    <row r="1" spans="1:31" ht="24" customHeight="1">
      <c r="A1" s="340" t="s">
        <v>299</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row>
    <row r="2" spans="1:31" ht="24" customHeight="1">
      <c r="A2" s="340" t="s">
        <v>603</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row>
    <row r="3" ht="13.5">
      <c r="A3" s="14"/>
    </row>
    <row r="4" ht="13.5">
      <c r="A4" s="14"/>
    </row>
    <row r="5" ht="13.5">
      <c r="A5" s="14"/>
    </row>
    <row r="6" ht="13.5">
      <c r="A6" s="14"/>
    </row>
    <row r="7" ht="13.5">
      <c r="A7" s="14"/>
    </row>
    <row r="8" ht="13.5">
      <c r="A8" s="14"/>
    </row>
    <row r="10" spans="1:31" ht="15">
      <c r="A10" s="339"/>
      <c r="B10" s="339"/>
      <c r="C10" s="339" t="s">
        <v>18</v>
      </c>
      <c r="D10" s="339"/>
      <c r="E10" s="339"/>
      <c r="F10" s="339"/>
      <c r="G10" s="339"/>
      <c r="H10" s="339"/>
      <c r="I10" s="339"/>
      <c r="J10" s="339"/>
      <c r="K10" s="339"/>
      <c r="M10" s="339" t="s">
        <v>19</v>
      </c>
      <c r="N10" s="339"/>
      <c r="O10" s="339"/>
      <c r="P10" s="339"/>
      <c r="Q10" s="339"/>
      <c r="R10" s="339"/>
      <c r="S10" s="339"/>
      <c r="T10" s="339"/>
      <c r="U10" s="339"/>
      <c r="W10" s="339" t="s">
        <v>20</v>
      </c>
      <c r="X10" s="339"/>
      <c r="Y10" s="339"/>
      <c r="Z10" s="339"/>
      <c r="AA10" s="339"/>
      <c r="AB10" s="339"/>
      <c r="AC10" s="339"/>
      <c r="AD10" s="339"/>
      <c r="AE10" s="339"/>
    </row>
    <row r="11" spans="2:31" ht="13.5">
      <c r="B11" s="144"/>
      <c r="C11" s="36"/>
      <c r="D11" s="146"/>
      <c r="E11" s="36"/>
      <c r="F11" s="36"/>
      <c r="G11" s="13" t="s">
        <v>389</v>
      </c>
      <c r="H11" s="13"/>
      <c r="I11" s="13" t="s">
        <v>391</v>
      </c>
      <c r="J11" s="13"/>
      <c r="K11" s="36"/>
      <c r="M11" s="36"/>
      <c r="N11" s="146"/>
      <c r="O11" s="36"/>
      <c r="P11" s="36"/>
      <c r="Q11" s="13" t="s">
        <v>389</v>
      </c>
      <c r="R11" s="13"/>
      <c r="S11" s="13" t="s">
        <v>391</v>
      </c>
      <c r="T11" s="13"/>
      <c r="U11" s="36"/>
      <c r="W11" s="36"/>
      <c r="X11" s="146"/>
      <c r="Y11" s="36"/>
      <c r="Z11" s="36"/>
      <c r="AA11" s="13" t="s">
        <v>389</v>
      </c>
      <c r="AB11" s="13"/>
      <c r="AC11" s="13" t="s">
        <v>391</v>
      </c>
      <c r="AD11" s="13"/>
      <c r="AE11" s="36"/>
    </row>
    <row r="12" spans="2:31" ht="13.5">
      <c r="B12" s="144"/>
      <c r="C12" s="36"/>
      <c r="D12" s="146"/>
      <c r="E12" s="36"/>
      <c r="F12" s="36"/>
      <c r="G12" s="13" t="s">
        <v>390</v>
      </c>
      <c r="H12" s="13"/>
      <c r="I12" s="13" t="s">
        <v>392</v>
      </c>
      <c r="J12" s="13"/>
      <c r="K12" s="36"/>
      <c r="M12" s="36"/>
      <c r="N12" s="146"/>
      <c r="O12" s="36"/>
      <c r="P12" s="36"/>
      <c r="Q12" s="13" t="s">
        <v>390</v>
      </c>
      <c r="R12" s="13"/>
      <c r="S12" s="13" t="s">
        <v>392</v>
      </c>
      <c r="T12" s="13"/>
      <c r="U12" s="36"/>
      <c r="W12" s="36"/>
      <c r="X12" s="146"/>
      <c r="Y12" s="36"/>
      <c r="Z12" s="36"/>
      <c r="AA12" s="13" t="s">
        <v>390</v>
      </c>
      <c r="AB12" s="13"/>
      <c r="AC12" s="13" t="s">
        <v>392</v>
      </c>
      <c r="AD12" s="13"/>
      <c r="AE12" s="36"/>
    </row>
    <row r="13" spans="2:31" ht="13.5">
      <c r="B13" s="144"/>
      <c r="C13" s="13" t="s">
        <v>387</v>
      </c>
      <c r="D13" s="147"/>
      <c r="E13" s="13" t="s">
        <v>388</v>
      </c>
      <c r="F13" s="13"/>
      <c r="G13" s="13" t="s">
        <v>388</v>
      </c>
      <c r="H13" s="13"/>
      <c r="I13" s="13" t="s">
        <v>393</v>
      </c>
      <c r="J13" s="13"/>
      <c r="K13" s="13" t="s">
        <v>394</v>
      </c>
      <c r="M13" s="13" t="s">
        <v>387</v>
      </c>
      <c r="N13" s="147"/>
      <c r="O13" s="13" t="s">
        <v>388</v>
      </c>
      <c r="P13" s="13"/>
      <c r="Q13" s="13" t="s">
        <v>388</v>
      </c>
      <c r="R13" s="13"/>
      <c r="S13" s="13" t="s">
        <v>393</v>
      </c>
      <c r="T13" s="13"/>
      <c r="U13" s="13" t="s">
        <v>394</v>
      </c>
      <c r="W13" s="13" t="s">
        <v>387</v>
      </c>
      <c r="X13" s="147"/>
      <c r="Y13" s="13" t="s">
        <v>388</v>
      </c>
      <c r="Z13" s="13"/>
      <c r="AA13" s="13" t="s">
        <v>388</v>
      </c>
      <c r="AB13" s="13"/>
      <c r="AC13" s="13" t="s">
        <v>393</v>
      </c>
      <c r="AD13" s="13"/>
      <c r="AE13" s="13" t="s">
        <v>394</v>
      </c>
    </row>
    <row r="14" ht="13.5">
      <c r="A14" s="14" t="s">
        <v>419</v>
      </c>
    </row>
    <row r="15" spans="1:31" ht="13.5">
      <c r="A15" s="57" t="s">
        <v>404</v>
      </c>
      <c r="B15" s="177"/>
      <c r="C15" s="154">
        <v>1211321</v>
      </c>
      <c r="D15" s="158"/>
      <c r="E15" s="154">
        <v>600457</v>
      </c>
      <c r="F15" s="154"/>
      <c r="G15" s="154">
        <f>+E15+C15</f>
        <v>1811778</v>
      </c>
      <c r="H15" s="154"/>
      <c r="I15" s="154">
        <v>42880</v>
      </c>
      <c r="J15" s="154"/>
      <c r="K15" s="154">
        <f>+G15+I15</f>
        <v>1854658</v>
      </c>
      <c r="M15" s="154">
        <v>891453</v>
      </c>
      <c r="N15" s="158"/>
      <c r="O15" s="154">
        <v>550988</v>
      </c>
      <c r="P15" s="154"/>
      <c r="Q15" s="154">
        <f>+O15+M15</f>
        <v>1442441</v>
      </c>
      <c r="R15" s="154"/>
      <c r="S15" s="154">
        <v>75848</v>
      </c>
      <c r="T15" s="154"/>
      <c r="U15" s="154">
        <f>+Q15+S15</f>
        <v>1518289</v>
      </c>
      <c r="W15" s="154">
        <v>1450386</v>
      </c>
      <c r="X15" s="158"/>
      <c r="Y15" s="154">
        <v>1289489</v>
      </c>
      <c r="Z15" s="154"/>
      <c r="AA15" s="154">
        <f>+Y15+W15</f>
        <v>2739875</v>
      </c>
      <c r="AB15" s="154"/>
      <c r="AC15" s="154">
        <v>26273</v>
      </c>
      <c r="AD15" s="154"/>
      <c r="AE15" s="154">
        <f>+AA15+AC15</f>
        <v>2766148</v>
      </c>
    </row>
    <row r="16" spans="1:31" ht="13.5">
      <c r="A16" s="57" t="s">
        <v>405</v>
      </c>
      <c r="B16" s="177"/>
      <c r="C16" s="154">
        <v>795966</v>
      </c>
      <c r="D16" s="158"/>
      <c r="E16" s="154">
        <v>506459</v>
      </c>
      <c r="F16" s="154"/>
      <c r="G16" s="154">
        <f>+E16+C16</f>
        <v>1302425</v>
      </c>
      <c r="H16" s="154"/>
      <c r="I16" s="154">
        <v>26205</v>
      </c>
      <c r="J16" s="154"/>
      <c r="K16" s="154">
        <f>+G16+I16</f>
        <v>1328630</v>
      </c>
      <c r="M16" s="154">
        <v>586186</v>
      </c>
      <c r="N16" s="158"/>
      <c r="O16" s="154">
        <v>467511</v>
      </c>
      <c r="P16" s="154"/>
      <c r="Q16" s="154">
        <f>+O16+M16</f>
        <v>1053697</v>
      </c>
      <c r="R16" s="154"/>
      <c r="S16" s="154">
        <v>73434</v>
      </c>
      <c r="T16" s="154"/>
      <c r="U16" s="154">
        <f>+Q16+S16</f>
        <v>1127131</v>
      </c>
      <c r="W16" s="154">
        <v>1051867</v>
      </c>
      <c r="X16" s="158"/>
      <c r="Y16" s="154">
        <v>1046356</v>
      </c>
      <c r="Z16" s="154"/>
      <c r="AA16" s="154">
        <f>+Y16+W16</f>
        <v>2098223</v>
      </c>
      <c r="AB16" s="154"/>
      <c r="AC16" s="154">
        <v>23662</v>
      </c>
      <c r="AD16" s="154"/>
      <c r="AE16" s="154">
        <f>+AA16+AC16</f>
        <v>2121885</v>
      </c>
    </row>
    <row r="17" spans="1:31" ht="6.75" customHeight="1">
      <c r="A17" s="57"/>
      <c r="B17" s="177"/>
      <c r="C17" s="57"/>
      <c r="D17" s="173"/>
      <c r="E17" s="57"/>
      <c r="F17" s="57"/>
      <c r="G17" s="57"/>
      <c r="H17" s="57"/>
      <c r="I17" s="57"/>
      <c r="J17" s="57"/>
      <c r="K17" s="57"/>
      <c r="M17" s="57"/>
      <c r="N17" s="173"/>
      <c r="O17" s="57"/>
      <c r="P17" s="57"/>
      <c r="Q17" s="57"/>
      <c r="R17" s="57"/>
      <c r="S17" s="57"/>
      <c r="T17" s="57"/>
      <c r="U17" s="57"/>
      <c r="W17" s="57"/>
      <c r="X17" s="173"/>
      <c r="Y17" s="57"/>
      <c r="Z17" s="57"/>
      <c r="AA17" s="57"/>
      <c r="AB17" s="57"/>
      <c r="AC17" s="57"/>
      <c r="AD17" s="57"/>
      <c r="AE17" s="57"/>
    </row>
    <row r="18" spans="1:31" ht="13.5">
      <c r="A18" s="57" t="s">
        <v>406</v>
      </c>
      <c r="B18" s="177"/>
      <c r="C18" s="154">
        <v>838112</v>
      </c>
      <c r="D18" s="158"/>
      <c r="E18" s="154">
        <v>506569</v>
      </c>
      <c r="F18" s="154"/>
      <c r="G18" s="154">
        <f>+C18+E18</f>
        <v>1344681</v>
      </c>
      <c r="H18" s="154"/>
      <c r="I18" s="154">
        <v>16917</v>
      </c>
      <c r="J18" s="154"/>
      <c r="K18" s="154">
        <f>+G18+I18</f>
        <v>1361598</v>
      </c>
      <c r="M18" s="154">
        <v>540931</v>
      </c>
      <c r="N18" s="158"/>
      <c r="O18" s="154">
        <v>495300</v>
      </c>
      <c r="P18" s="154"/>
      <c r="Q18" s="154">
        <f>+M18+O18</f>
        <v>1036231</v>
      </c>
      <c r="R18" s="154"/>
      <c r="S18" s="154">
        <v>10813</v>
      </c>
      <c r="T18" s="154"/>
      <c r="U18" s="154">
        <f>+Q18+S18</f>
        <v>1047044</v>
      </c>
      <c r="W18" s="154">
        <v>589801</v>
      </c>
      <c r="X18" s="158"/>
      <c r="Y18" s="154">
        <v>421167</v>
      </c>
      <c r="Z18" s="154"/>
      <c r="AA18" s="154">
        <f>+W18+Y18</f>
        <v>1010968</v>
      </c>
      <c r="AB18" s="154"/>
      <c r="AC18" s="154">
        <v>14554</v>
      </c>
      <c r="AD18" s="154"/>
      <c r="AE18" s="154">
        <f>+AA18+AC18</f>
        <v>1025522</v>
      </c>
    </row>
    <row r="19" spans="1:31" ht="13.5">
      <c r="A19" s="57" t="s">
        <v>395</v>
      </c>
      <c r="B19" s="177"/>
      <c r="C19" s="156">
        <v>5728</v>
      </c>
      <c r="D19" s="174"/>
      <c r="E19" s="156">
        <v>3464</v>
      </c>
      <c r="F19" s="156"/>
      <c r="G19" s="156">
        <f>+C19+E19</f>
        <v>9192</v>
      </c>
      <c r="H19" s="156"/>
      <c r="I19" s="156">
        <v>890</v>
      </c>
      <c r="J19" s="156"/>
      <c r="K19" s="156">
        <f>+G19+I19</f>
        <v>10082</v>
      </c>
      <c r="M19" s="156">
        <v>10886</v>
      </c>
      <c r="N19" s="174"/>
      <c r="O19" s="156">
        <v>8506</v>
      </c>
      <c r="P19" s="156"/>
      <c r="Q19" s="156">
        <f>+M19+O19</f>
        <v>19392</v>
      </c>
      <c r="R19" s="156"/>
      <c r="S19" s="156">
        <v>1067</v>
      </c>
      <c r="T19" s="156"/>
      <c r="U19" s="156">
        <f>+Q19+S19</f>
        <v>20459</v>
      </c>
      <c r="W19" s="156">
        <v>6545</v>
      </c>
      <c r="X19" s="174"/>
      <c r="Y19" s="156">
        <v>899</v>
      </c>
      <c r="Z19" s="156"/>
      <c r="AA19" s="156">
        <f>+W19+Y19</f>
        <v>7444</v>
      </c>
      <c r="AB19" s="156"/>
      <c r="AC19" s="156">
        <v>503</v>
      </c>
      <c r="AD19" s="156"/>
      <c r="AE19" s="156">
        <f>+AA19+AC19</f>
        <v>7947</v>
      </c>
    </row>
    <row r="20" spans="1:31" ht="6.75" customHeight="1">
      <c r="A20" s="57"/>
      <c r="B20" s="177"/>
      <c r="C20" s="156"/>
      <c r="D20" s="174"/>
      <c r="E20" s="156"/>
      <c r="F20" s="156"/>
      <c r="G20" s="156"/>
      <c r="H20" s="156"/>
      <c r="I20" s="156"/>
      <c r="J20" s="156"/>
      <c r="K20" s="156"/>
      <c r="M20" s="156"/>
      <c r="N20" s="174"/>
      <c r="O20" s="156"/>
      <c r="P20" s="156"/>
      <c r="Q20" s="156"/>
      <c r="R20" s="156"/>
      <c r="S20" s="156"/>
      <c r="T20" s="156"/>
      <c r="U20" s="156"/>
      <c r="W20" s="156"/>
      <c r="X20" s="174"/>
      <c r="Y20" s="156"/>
      <c r="Z20" s="156"/>
      <c r="AA20" s="156"/>
      <c r="AB20" s="156"/>
      <c r="AC20" s="156"/>
      <c r="AD20" s="156"/>
      <c r="AE20" s="156"/>
    </row>
    <row r="21" spans="1:31" ht="13.5">
      <c r="A21" s="57" t="s">
        <v>396</v>
      </c>
      <c r="B21" s="177"/>
      <c r="C21" s="156">
        <v>511554</v>
      </c>
      <c r="D21" s="174"/>
      <c r="E21" s="156">
        <v>316645</v>
      </c>
      <c r="F21" s="156"/>
      <c r="G21" s="156">
        <f>+C21+E21</f>
        <v>828199</v>
      </c>
      <c r="H21" s="156"/>
      <c r="I21" s="156">
        <v>6006</v>
      </c>
      <c r="J21" s="156"/>
      <c r="K21" s="156">
        <f>+G21+I21</f>
        <v>834205</v>
      </c>
      <c r="M21" s="156">
        <v>394590</v>
      </c>
      <c r="N21" s="174"/>
      <c r="O21" s="156">
        <v>427561</v>
      </c>
      <c r="P21" s="156"/>
      <c r="Q21" s="156">
        <f>+M21+O21</f>
        <v>822151</v>
      </c>
      <c r="R21" s="156"/>
      <c r="S21" s="156">
        <v>-54</v>
      </c>
      <c r="T21" s="156"/>
      <c r="U21" s="156">
        <f>+Q21+S21</f>
        <v>822097</v>
      </c>
      <c r="W21" s="156">
        <v>374586</v>
      </c>
      <c r="X21" s="174"/>
      <c r="Y21" s="156">
        <v>264632</v>
      </c>
      <c r="Z21" s="156"/>
      <c r="AA21" s="156">
        <f>+W21+Y21</f>
        <v>639218</v>
      </c>
      <c r="AB21" s="156"/>
      <c r="AC21" s="156">
        <v>3080</v>
      </c>
      <c r="AD21" s="156"/>
      <c r="AE21" s="156">
        <f>+AA21+AC21</f>
        <v>642298</v>
      </c>
    </row>
    <row r="22" spans="1:31" ht="13.5">
      <c r="A22" s="57" t="s">
        <v>397</v>
      </c>
      <c r="B22" s="177"/>
      <c r="C22" s="156">
        <v>154732</v>
      </c>
      <c r="D22" s="174"/>
      <c r="E22" s="156">
        <v>113909</v>
      </c>
      <c r="F22" s="156"/>
      <c r="G22" s="156">
        <f>+C22+E22</f>
        <v>268641</v>
      </c>
      <c r="H22" s="156"/>
      <c r="I22" s="156">
        <v>17</v>
      </c>
      <c r="J22" s="156"/>
      <c r="K22" s="156">
        <f>+G22+I22</f>
        <v>268658</v>
      </c>
      <c r="M22" s="156">
        <v>67644</v>
      </c>
      <c r="N22" s="174"/>
      <c r="O22" s="156">
        <v>100295</v>
      </c>
      <c r="P22" s="156"/>
      <c r="Q22" s="156">
        <f>+M22+O22</f>
        <v>167939</v>
      </c>
      <c r="R22" s="156"/>
      <c r="S22" s="156">
        <v>5045</v>
      </c>
      <c r="T22" s="156"/>
      <c r="U22" s="156">
        <f>+Q22+S22</f>
        <v>172984</v>
      </c>
      <c r="W22" s="156">
        <v>91965</v>
      </c>
      <c r="X22" s="174"/>
      <c r="Y22" s="156">
        <v>92214</v>
      </c>
      <c r="Z22" s="156"/>
      <c r="AA22" s="156">
        <f>+W22+Y22</f>
        <v>184179</v>
      </c>
      <c r="AB22" s="156"/>
      <c r="AC22" s="156">
        <v>958</v>
      </c>
      <c r="AD22" s="156"/>
      <c r="AE22" s="156">
        <f>+AA22+AC22</f>
        <v>185137</v>
      </c>
    </row>
    <row r="23" spans="1:31" ht="13.5">
      <c r="A23" s="57" t="s">
        <v>398</v>
      </c>
      <c r="B23" s="177"/>
      <c r="C23" s="156">
        <v>95278</v>
      </c>
      <c r="D23" s="174"/>
      <c r="E23" s="156">
        <v>29944</v>
      </c>
      <c r="F23" s="156"/>
      <c r="G23" s="156">
        <f>+C23+E23</f>
        <v>125222</v>
      </c>
      <c r="H23" s="156"/>
      <c r="I23" s="156">
        <v>16569</v>
      </c>
      <c r="J23" s="156"/>
      <c r="K23" s="156">
        <f>+G23+I23</f>
        <v>141791</v>
      </c>
      <c r="M23" s="156">
        <v>111241</v>
      </c>
      <c r="N23" s="174"/>
      <c r="O23" s="156">
        <v>31021</v>
      </c>
      <c r="P23" s="156"/>
      <c r="Q23" s="156">
        <f>+M23+O23</f>
        <v>142262</v>
      </c>
      <c r="R23" s="156"/>
      <c r="S23" s="156">
        <v>12312</v>
      </c>
      <c r="T23" s="156"/>
      <c r="U23" s="156">
        <f>+Q23+S23</f>
        <v>154574</v>
      </c>
      <c r="W23" s="156">
        <v>88973</v>
      </c>
      <c r="X23" s="174"/>
      <c r="Y23" s="156">
        <v>18686</v>
      </c>
      <c r="Z23" s="156"/>
      <c r="AA23" s="156">
        <f>+W23+Y23</f>
        <v>107659</v>
      </c>
      <c r="AB23" s="156"/>
      <c r="AC23" s="156">
        <v>14990</v>
      </c>
      <c r="AD23" s="156"/>
      <c r="AE23" s="156">
        <f>+AA23+AC23</f>
        <v>122649</v>
      </c>
    </row>
    <row r="24" spans="1:31" ht="13.5">
      <c r="A24" s="57" t="s">
        <v>469</v>
      </c>
      <c r="B24" s="177"/>
      <c r="C24" s="180">
        <v>-6768</v>
      </c>
      <c r="D24" s="175"/>
      <c r="E24" s="156">
        <v>-8614</v>
      </c>
      <c r="F24" s="57"/>
      <c r="G24" s="156">
        <f>+C24+E24</f>
        <v>-15382</v>
      </c>
      <c r="H24" s="156"/>
      <c r="I24" s="156">
        <v>0</v>
      </c>
      <c r="J24" s="154"/>
      <c r="K24" s="156">
        <f>+G24+I24</f>
        <v>-15382</v>
      </c>
      <c r="M24" s="180">
        <v>-22181</v>
      </c>
      <c r="N24" s="175"/>
      <c r="O24" s="156">
        <v>-1025</v>
      </c>
      <c r="P24" s="57"/>
      <c r="Q24" s="156">
        <f>+M24+O24</f>
        <v>-23206</v>
      </c>
      <c r="R24" s="156"/>
      <c r="S24" s="156">
        <v>0</v>
      </c>
      <c r="T24" s="154"/>
      <c r="U24" s="156">
        <f>+Q24+S24</f>
        <v>-23206</v>
      </c>
      <c r="W24" s="180">
        <v>-2112</v>
      </c>
      <c r="X24" s="175"/>
      <c r="Y24" s="156">
        <v>-6252</v>
      </c>
      <c r="Z24" s="57"/>
      <c r="AA24" s="156">
        <f>+W24+Y24</f>
        <v>-8364</v>
      </c>
      <c r="AB24" s="156"/>
      <c r="AC24" s="156">
        <v>0</v>
      </c>
      <c r="AD24" s="154"/>
      <c r="AE24" s="156">
        <f>+AA24+AC24</f>
        <v>-8364</v>
      </c>
    </row>
    <row r="25" spans="1:31" ht="13.5">
      <c r="A25" s="57"/>
      <c r="B25" s="177"/>
      <c r="C25" s="57"/>
      <c r="D25" s="173"/>
      <c r="E25" s="57"/>
      <c r="F25" s="57"/>
      <c r="G25" s="57"/>
      <c r="H25" s="156"/>
      <c r="I25" s="57"/>
      <c r="J25" s="154"/>
      <c r="K25" s="57"/>
      <c r="M25" s="57"/>
      <c r="N25" s="173"/>
      <c r="O25" s="57"/>
      <c r="P25" s="57"/>
      <c r="Q25" s="57"/>
      <c r="R25" s="156"/>
      <c r="S25" s="57"/>
      <c r="T25" s="154"/>
      <c r="U25" s="57"/>
      <c r="W25" s="57"/>
      <c r="X25" s="173"/>
      <c r="Y25" s="57"/>
      <c r="Z25" s="57"/>
      <c r="AA25" s="57"/>
      <c r="AB25" s="156"/>
      <c r="AC25" s="57"/>
      <c r="AD25" s="154"/>
      <c r="AE25" s="57"/>
    </row>
    <row r="26" spans="1:31" ht="13.5">
      <c r="A26" s="57" t="s">
        <v>342</v>
      </c>
      <c r="B26" s="177"/>
      <c r="C26" s="157">
        <f>+C18+C19-C21-C22-C23-C24</f>
        <v>89044</v>
      </c>
      <c r="D26" s="158"/>
      <c r="E26" s="157">
        <f>+E18+E19-E21-E22-E23-E24</f>
        <v>58149</v>
      </c>
      <c r="F26" s="57"/>
      <c r="G26" s="157">
        <f>+G18+G19-G21-G22-G23-G24</f>
        <v>147193</v>
      </c>
      <c r="H26" s="156"/>
      <c r="I26" s="157">
        <f>+I18+I19-I21-I22-I23-I24</f>
        <v>-4785</v>
      </c>
      <c r="J26" s="154"/>
      <c r="K26" s="157">
        <f>+K18+K19-K21-K22-K23-K24</f>
        <v>142408</v>
      </c>
      <c r="M26" s="157">
        <f>+M18+M19-M21-M22-M23-M24</f>
        <v>523</v>
      </c>
      <c r="N26" s="158"/>
      <c r="O26" s="157">
        <f>+O18+O19-O21-O22-O23-O24</f>
        <v>-54046</v>
      </c>
      <c r="P26" s="57"/>
      <c r="Q26" s="157">
        <f>+Q18+Q19-Q21-Q22-Q23-Q24</f>
        <v>-53523</v>
      </c>
      <c r="R26" s="156"/>
      <c r="S26" s="157">
        <f>+S18+S19-S21-S22-S23-S24</f>
        <v>-5423</v>
      </c>
      <c r="T26" s="154"/>
      <c r="U26" s="157">
        <f>+U18+U19-U21-U22-U23-U24</f>
        <v>-58946</v>
      </c>
      <c r="W26" s="157">
        <f>+W18+W19-W21-W22-W23-W24</f>
        <v>42934</v>
      </c>
      <c r="X26" s="158"/>
      <c r="Y26" s="157">
        <f>+Y18+Y19-Y21-Y22-Y23-Y24</f>
        <v>52786</v>
      </c>
      <c r="Z26" s="57"/>
      <c r="AA26" s="157">
        <f>+AA18+AA19-AA21-AA22-AA23-AA24</f>
        <v>95720</v>
      </c>
      <c r="AB26" s="156"/>
      <c r="AC26" s="157">
        <f>+AC18+AC19-AC21-AC22-AC23-AC24</f>
        <v>-3971</v>
      </c>
      <c r="AD26" s="154"/>
      <c r="AE26" s="157">
        <f>+AE18+AE19-AE21-AE22-AE23-AE24</f>
        <v>91749</v>
      </c>
    </row>
    <row r="27" spans="3:31" ht="13.5">
      <c r="C27" s="57"/>
      <c r="D27" s="173"/>
      <c r="E27" s="57"/>
      <c r="F27" s="57"/>
      <c r="G27" s="57"/>
      <c r="H27" s="156"/>
      <c r="I27" s="57"/>
      <c r="J27" s="154"/>
      <c r="K27" s="57"/>
      <c r="M27" s="57"/>
      <c r="N27" s="173"/>
      <c r="O27" s="57"/>
      <c r="P27" s="57"/>
      <c r="Q27" s="57"/>
      <c r="R27" s="156"/>
      <c r="S27" s="57"/>
      <c r="T27" s="154"/>
      <c r="U27" s="57"/>
      <c r="W27" s="57"/>
      <c r="X27" s="173"/>
      <c r="Y27" s="57"/>
      <c r="Z27" s="57"/>
      <c r="AA27" s="57"/>
      <c r="AB27" s="156"/>
      <c r="AC27" s="57"/>
      <c r="AD27" s="154"/>
      <c r="AE27" s="57"/>
    </row>
    <row r="28" spans="1:31" s="57" customFormat="1" ht="12">
      <c r="A28" s="57" t="s">
        <v>2</v>
      </c>
      <c r="B28" s="178"/>
      <c r="D28" s="173"/>
      <c r="J28" s="154"/>
      <c r="K28" s="156">
        <v>9484</v>
      </c>
      <c r="N28" s="173"/>
      <c r="T28" s="154"/>
      <c r="U28" s="156">
        <v>-5134</v>
      </c>
      <c r="X28" s="173"/>
      <c r="AD28" s="154"/>
      <c r="AE28" s="156">
        <v>-9476</v>
      </c>
    </row>
    <row r="29" spans="3:31" ht="13.5">
      <c r="C29" s="57"/>
      <c r="D29" s="173"/>
      <c r="E29" s="57"/>
      <c r="F29" s="57"/>
      <c r="G29" s="57"/>
      <c r="H29" s="57"/>
      <c r="I29" s="57"/>
      <c r="J29" s="154"/>
      <c r="K29" s="179"/>
      <c r="M29" s="57"/>
      <c r="N29" s="173"/>
      <c r="O29" s="57"/>
      <c r="P29" s="57"/>
      <c r="Q29" s="57"/>
      <c r="R29" s="57"/>
      <c r="S29" s="57"/>
      <c r="T29" s="154"/>
      <c r="U29" s="179"/>
      <c r="W29" s="57"/>
      <c r="X29" s="173"/>
      <c r="Y29" s="57"/>
      <c r="Z29" s="57"/>
      <c r="AA29" s="57"/>
      <c r="AB29" s="57"/>
      <c r="AC29" s="57"/>
      <c r="AD29" s="154"/>
      <c r="AE29" s="179"/>
    </row>
    <row r="30" spans="1:31" ht="13.5">
      <c r="A30" s="152" t="s">
        <v>584</v>
      </c>
      <c r="C30" s="57"/>
      <c r="D30" s="173"/>
      <c r="E30" s="57"/>
      <c r="F30" s="57"/>
      <c r="G30" s="57"/>
      <c r="H30" s="57"/>
      <c r="I30" s="57"/>
      <c r="J30" s="154"/>
      <c r="K30" s="179"/>
      <c r="M30" s="57"/>
      <c r="N30" s="173"/>
      <c r="O30" s="57"/>
      <c r="P30" s="57"/>
      <c r="Q30" s="57"/>
      <c r="R30" s="57"/>
      <c r="S30" s="57"/>
      <c r="T30" s="154"/>
      <c r="U30" s="179"/>
      <c r="W30" s="57"/>
      <c r="X30" s="173"/>
      <c r="Y30" s="57"/>
      <c r="Z30" s="57"/>
      <c r="AA30" s="57"/>
      <c r="AB30" s="57"/>
      <c r="AC30" s="57"/>
      <c r="AD30" s="154"/>
      <c r="AE30" s="179"/>
    </row>
    <row r="31" spans="1:31" ht="13.5">
      <c r="A31" s="57" t="s">
        <v>343</v>
      </c>
      <c r="C31" s="181">
        <f>+C21/C18</f>
        <v>0.6103647245236914</v>
      </c>
      <c r="D31" s="172"/>
      <c r="E31" s="181">
        <f>+E21/E18</f>
        <v>0.6250777287990382</v>
      </c>
      <c r="F31" s="57"/>
      <c r="G31" s="181">
        <f>+G21/G18</f>
        <v>0.6159074159596216</v>
      </c>
      <c r="H31" s="181"/>
      <c r="I31" s="57"/>
      <c r="J31" s="154"/>
      <c r="K31" s="57"/>
      <c r="M31" s="181">
        <f>+M21/M18</f>
        <v>0.7294645712669453</v>
      </c>
      <c r="N31" s="172"/>
      <c r="O31" s="181">
        <f>+O21/O18</f>
        <v>0.8632364223702806</v>
      </c>
      <c r="P31" s="57"/>
      <c r="Q31" s="181">
        <f>+Q21/Q18</f>
        <v>0.7934051384295586</v>
      </c>
      <c r="R31" s="181"/>
      <c r="S31" s="57"/>
      <c r="T31" s="154"/>
      <c r="U31" s="57"/>
      <c r="W31" s="181">
        <f>+W21/W18</f>
        <v>0.635105739054359</v>
      </c>
      <c r="X31" s="172"/>
      <c r="Y31" s="181">
        <f>+Y21/Y18</f>
        <v>0.6283303297741751</v>
      </c>
      <c r="Z31" s="57"/>
      <c r="AA31" s="181">
        <f>+AA21/AA18</f>
        <v>0.6322831187535115</v>
      </c>
      <c r="AB31" s="181"/>
      <c r="AC31" s="57"/>
      <c r="AD31" s="154"/>
      <c r="AE31" s="57"/>
    </row>
    <row r="32" spans="1:31" ht="13.5">
      <c r="A32" s="57" t="s">
        <v>483</v>
      </c>
      <c r="C32" s="181">
        <f>+(C23+C22)/C18+0.001</f>
        <v>0.29930142033522966</v>
      </c>
      <c r="D32" s="172"/>
      <c r="E32" s="181">
        <f>+(E23+E22)/E18</f>
        <v>0.28397513468056673</v>
      </c>
      <c r="F32" s="57"/>
      <c r="G32" s="181">
        <f>+(G23+G22)/G18</f>
        <v>0.29290441376058707</v>
      </c>
      <c r="H32" s="181"/>
      <c r="I32" s="57"/>
      <c r="J32" s="154"/>
      <c r="K32" s="57"/>
      <c r="M32" s="181">
        <f>+(M23+M22)/M18</f>
        <v>0.3306983700324071</v>
      </c>
      <c r="N32" s="172"/>
      <c r="O32" s="181">
        <f>+(O23+O22)/O18</f>
        <v>0.26512416717141124</v>
      </c>
      <c r="P32" s="57"/>
      <c r="Q32" s="181">
        <f>+(Q23+Q22)/Q18</f>
        <v>0.2993550665826442</v>
      </c>
      <c r="R32" s="181"/>
      <c r="S32" s="57"/>
      <c r="T32" s="154"/>
      <c r="U32" s="57"/>
      <c r="W32" s="181">
        <f>+(W23+W22)/W18</f>
        <v>0.30677804886732984</v>
      </c>
      <c r="X32" s="172"/>
      <c r="Y32" s="181">
        <f>+(Y23+Y22)/Y18</f>
        <v>0.2633159767978023</v>
      </c>
      <c r="Z32" s="57"/>
      <c r="AA32" s="181">
        <f>+(AA23+AA22)/AA18</f>
        <v>0.28867184718012834</v>
      </c>
      <c r="AB32" s="181"/>
      <c r="AC32" s="57"/>
      <c r="AD32" s="154"/>
      <c r="AE32" s="57"/>
    </row>
    <row r="33" spans="1:31" ht="14.25" thickBot="1">
      <c r="A33" s="57" t="s">
        <v>346</v>
      </c>
      <c r="C33" s="182">
        <f>+C31+C32-0.001</f>
        <v>0.908666144858921</v>
      </c>
      <c r="D33" s="172"/>
      <c r="E33" s="182">
        <f>+E31+E32</f>
        <v>0.9090528634796049</v>
      </c>
      <c r="F33" s="57"/>
      <c r="G33" s="182">
        <f>+G31+G32</f>
        <v>0.9088118297202087</v>
      </c>
      <c r="H33" s="172"/>
      <c r="I33" s="57"/>
      <c r="J33" s="154"/>
      <c r="K33" s="57"/>
      <c r="M33" s="182">
        <f>+M31+M32</f>
        <v>1.0601629412993523</v>
      </c>
      <c r="N33" s="172"/>
      <c r="O33" s="182">
        <f>+O31+O32</f>
        <v>1.128360589541692</v>
      </c>
      <c r="P33" s="57"/>
      <c r="Q33" s="182">
        <f>+Q31+Q32-0.001</f>
        <v>1.091760205012203</v>
      </c>
      <c r="R33" s="172"/>
      <c r="S33" s="57"/>
      <c r="T33" s="154"/>
      <c r="U33" s="57"/>
      <c r="W33" s="182">
        <f>+W31+W32</f>
        <v>0.9418837879216888</v>
      </c>
      <c r="X33" s="172"/>
      <c r="Y33" s="182">
        <f>+Y31+Y32-0.001</f>
        <v>0.8906463065719774</v>
      </c>
      <c r="Z33" s="57"/>
      <c r="AA33" s="182">
        <f>+AA31+AA32</f>
        <v>0.9209549659336398</v>
      </c>
      <c r="AB33" s="172"/>
      <c r="AC33" s="57"/>
      <c r="AD33" s="154"/>
      <c r="AE33" s="57"/>
    </row>
    <row r="34" spans="1:31" ht="14.25" thickTop="1">
      <c r="A34" s="57"/>
      <c r="C34" s="172"/>
      <c r="D34" s="172"/>
      <c r="E34" s="172"/>
      <c r="F34" s="57"/>
      <c r="G34" s="172"/>
      <c r="H34" s="172"/>
      <c r="I34" s="57"/>
      <c r="J34" s="154"/>
      <c r="K34" s="57"/>
      <c r="M34" s="172"/>
      <c r="N34" s="172"/>
      <c r="O34" s="172"/>
      <c r="P34" s="57"/>
      <c r="Q34" s="172"/>
      <c r="R34" s="172"/>
      <c r="S34" s="57"/>
      <c r="T34" s="154"/>
      <c r="U34" s="57"/>
      <c r="W34" s="172"/>
      <c r="X34" s="172"/>
      <c r="Y34" s="172"/>
      <c r="Z34" s="57"/>
      <c r="AA34" s="172"/>
      <c r="AB34" s="172"/>
      <c r="AC34" s="57"/>
      <c r="AD34" s="154"/>
      <c r="AE34" s="57"/>
    </row>
    <row r="35" spans="1:31" ht="13.5">
      <c r="A35" s="57"/>
      <c r="C35" s="172"/>
      <c r="D35" s="172"/>
      <c r="E35" s="172"/>
      <c r="F35" s="57"/>
      <c r="G35" s="172"/>
      <c r="H35" s="172"/>
      <c r="I35" s="57"/>
      <c r="J35" s="154"/>
      <c r="K35" s="57"/>
      <c r="M35" s="172"/>
      <c r="N35" s="172"/>
      <c r="O35" s="172"/>
      <c r="P35" s="57"/>
      <c r="Q35" s="172"/>
      <c r="R35" s="172"/>
      <c r="S35" s="57"/>
      <c r="T35" s="154"/>
      <c r="U35" s="57"/>
      <c r="W35" s="172"/>
      <c r="X35" s="172"/>
      <c r="Y35" s="172"/>
      <c r="Z35" s="57"/>
      <c r="AA35" s="172"/>
      <c r="AB35" s="172"/>
      <c r="AC35" s="57"/>
      <c r="AD35" s="154"/>
      <c r="AE35" s="57"/>
    </row>
    <row r="36" spans="1:31" ht="13.5">
      <c r="A36" s="57"/>
      <c r="C36" s="172"/>
      <c r="D36" s="172"/>
      <c r="E36" s="172"/>
      <c r="F36" s="57"/>
      <c r="G36" s="172"/>
      <c r="H36" s="172"/>
      <c r="I36" s="57"/>
      <c r="J36" s="154"/>
      <c r="K36" s="57"/>
      <c r="M36" s="172"/>
      <c r="N36" s="172"/>
      <c r="O36" s="172"/>
      <c r="P36" s="57"/>
      <c r="Q36" s="172"/>
      <c r="R36" s="172"/>
      <c r="S36" s="57"/>
      <c r="T36" s="154"/>
      <c r="U36" s="57"/>
      <c r="W36" s="172"/>
      <c r="X36" s="172"/>
      <c r="Y36" s="172"/>
      <c r="Z36" s="57"/>
      <c r="AA36" s="172"/>
      <c r="AB36" s="172"/>
      <c r="AC36" s="57"/>
      <c r="AD36" s="154"/>
      <c r="AE36" s="57"/>
    </row>
    <row r="37" spans="1:31" ht="13.5">
      <c r="A37" s="57"/>
      <c r="C37" s="172"/>
      <c r="D37" s="172"/>
      <c r="E37" s="172"/>
      <c r="F37" s="57"/>
      <c r="G37" s="172"/>
      <c r="H37" s="172"/>
      <c r="I37" s="57"/>
      <c r="J37" s="154"/>
      <c r="K37" s="57"/>
      <c r="M37" s="172"/>
      <c r="N37" s="172"/>
      <c r="O37" s="172"/>
      <c r="P37" s="57"/>
      <c r="Q37" s="172"/>
      <c r="R37" s="172"/>
      <c r="S37" s="57"/>
      <c r="T37" s="154"/>
      <c r="U37" s="57"/>
      <c r="W37" s="172"/>
      <c r="X37" s="172"/>
      <c r="Y37" s="172"/>
      <c r="Z37" s="57"/>
      <c r="AA37" s="172"/>
      <c r="AB37" s="172"/>
      <c r="AC37" s="57"/>
      <c r="AD37" s="154"/>
      <c r="AE37" s="57"/>
    </row>
    <row r="38" spans="1:31" ht="13.5">
      <c r="A38" s="57"/>
      <c r="C38" s="172"/>
      <c r="D38" s="172"/>
      <c r="E38" s="172"/>
      <c r="F38" s="57"/>
      <c r="G38" s="172"/>
      <c r="H38" s="172"/>
      <c r="I38" s="57"/>
      <c r="J38" s="154"/>
      <c r="K38" s="57"/>
      <c r="M38" s="172"/>
      <c r="N38" s="172"/>
      <c r="O38" s="172"/>
      <c r="P38" s="57"/>
      <c r="Q38" s="172"/>
      <c r="R38" s="172"/>
      <c r="S38" s="57"/>
      <c r="T38" s="154"/>
      <c r="U38" s="57"/>
      <c r="W38" s="172"/>
      <c r="X38" s="172"/>
      <c r="Y38" s="172"/>
      <c r="Z38" s="57"/>
      <c r="AA38" s="172"/>
      <c r="AB38" s="172"/>
      <c r="AC38" s="57"/>
      <c r="AD38" s="154"/>
      <c r="AE38" s="57"/>
    </row>
    <row r="39" spans="1:31" ht="13.5">
      <c r="A39" s="57"/>
      <c r="C39" s="172"/>
      <c r="D39" s="172"/>
      <c r="E39" s="172"/>
      <c r="F39" s="57"/>
      <c r="G39" s="172"/>
      <c r="H39" s="172"/>
      <c r="I39" s="57"/>
      <c r="J39" s="154"/>
      <c r="K39" s="57"/>
      <c r="M39" s="172"/>
      <c r="N39" s="172"/>
      <c r="O39" s="172"/>
      <c r="P39" s="57"/>
      <c r="Q39" s="172"/>
      <c r="R39" s="172"/>
      <c r="S39" s="57"/>
      <c r="T39" s="154"/>
      <c r="U39" s="57"/>
      <c r="W39" s="172"/>
      <c r="X39" s="172"/>
      <c r="Y39" s="172"/>
      <c r="Z39" s="57"/>
      <c r="AA39" s="172"/>
      <c r="AB39" s="172"/>
      <c r="AC39" s="57"/>
      <c r="AD39" s="154"/>
      <c r="AE39" s="57"/>
    </row>
    <row r="43" spans="1:31" ht="15">
      <c r="A43" s="339"/>
      <c r="B43" s="339"/>
      <c r="C43" s="339" t="s">
        <v>577</v>
      </c>
      <c r="D43" s="339"/>
      <c r="E43" s="339"/>
      <c r="F43" s="339"/>
      <c r="G43" s="339"/>
      <c r="H43" s="339"/>
      <c r="I43" s="339"/>
      <c r="J43" s="339"/>
      <c r="K43" s="339"/>
      <c r="M43" s="339" t="s">
        <v>578</v>
      </c>
      <c r="N43" s="339"/>
      <c r="O43" s="339"/>
      <c r="P43" s="339"/>
      <c r="Q43" s="339"/>
      <c r="R43" s="339"/>
      <c r="S43" s="339"/>
      <c r="T43" s="339"/>
      <c r="U43" s="339"/>
      <c r="W43" s="339" t="s">
        <v>579</v>
      </c>
      <c r="X43" s="339"/>
      <c r="Y43" s="339"/>
      <c r="Z43" s="339"/>
      <c r="AA43" s="339"/>
      <c r="AB43" s="339"/>
      <c r="AC43" s="339"/>
      <c r="AD43" s="339"/>
      <c r="AE43" s="339"/>
    </row>
    <row r="44" spans="2:31" ht="13.5">
      <c r="B44" s="144"/>
      <c r="C44" s="36"/>
      <c r="D44" s="146"/>
      <c r="E44" s="36"/>
      <c r="F44" s="36"/>
      <c r="G44" s="13" t="s">
        <v>389</v>
      </c>
      <c r="H44" s="13"/>
      <c r="I44" s="13" t="s">
        <v>391</v>
      </c>
      <c r="J44" s="13"/>
      <c r="K44" s="36"/>
      <c r="M44" s="36"/>
      <c r="N44" s="146"/>
      <c r="O44" s="36"/>
      <c r="P44" s="36"/>
      <c r="Q44" s="13" t="s">
        <v>389</v>
      </c>
      <c r="R44" s="13"/>
      <c r="S44" s="13" t="s">
        <v>391</v>
      </c>
      <c r="T44" s="13"/>
      <c r="U44" s="36"/>
      <c r="W44" s="36"/>
      <c r="X44" s="146"/>
      <c r="Y44" s="36"/>
      <c r="Z44" s="36"/>
      <c r="AA44" s="13" t="s">
        <v>389</v>
      </c>
      <c r="AB44" s="13"/>
      <c r="AC44" s="13" t="s">
        <v>391</v>
      </c>
      <c r="AD44" s="13"/>
      <c r="AE44" s="36"/>
    </row>
    <row r="45" spans="2:31" ht="13.5">
      <c r="B45" s="144"/>
      <c r="C45" s="36"/>
      <c r="D45" s="146"/>
      <c r="E45" s="36"/>
      <c r="F45" s="36"/>
      <c r="G45" s="13" t="s">
        <v>390</v>
      </c>
      <c r="H45" s="13"/>
      <c r="I45" s="13" t="s">
        <v>392</v>
      </c>
      <c r="J45" s="13"/>
      <c r="K45" s="36"/>
      <c r="M45" s="36"/>
      <c r="N45" s="146"/>
      <c r="O45" s="36"/>
      <c r="P45" s="36"/>
      <c r="Q45" s="13" t="s">
        <v>390</v>
      </c>
      <c r="R45" s="13"/>
      <c r="S45" s="13" t="s">
        <v>392</v>
      </c>
      <c r="T45" s="13"/>
      <c r="U45" s="36"/>
      <c r="W45" s="36"/>
      <c r="X45" s="146"/>
      <c r="Y45" s="36"/>
      <c r="Z45" s="36"/>
      <c r="AA45" s="13" t="s">
        <v>390</v>
      </c>
      <c r="AB45" s="13"/>
      <c r="AC45" s="13" t="s">
        <v>392</v>
      </c>
      <c r="AD45" s="13"/>
      <c r="AE45" s="36"/>
    </row>
    <row r="46" spans="2:31" ht="13.5">
      <c r="B46" s="144"/>
      <c r="C46" s="13" t="s">
        <v>387</v>
      </c>
      <c r="D46" s="147"/>
      <c r="E46" s="13" t="s">
        <v>388</v>
      </c>
      <c r="F46" s="13"/>
      <c r="G46" s="13" t="s">
        <v>388</v>
      </c>
      <c r="H46" s="13"/>
      <c r="I46" s="13" t="s">
        <v>393</v>
      </c>
      <c r="J46" s="13"/>
      <c r="K46" s="13" t="s">
        <v>394</v>
      </c>
      <c r="M46" s="13" t="s">
        <v>387</v>
      </c>
      <c r="N46" s="147"/>
      <c r="O46" s="13" t="s">
        <v>388</v>
      </c>
      <c r="P46" s="13"/>
      <c r="Q46" s="13" t="s">
        <v>388</v>
      </c>
      <c r="R46" s="13"/>
      <c r="S46" s="13" t="s">
        <v>393</v>
      </c>
      <c r="T46" s="13"/>
      <c r="U46" s="13" t="s">
        <v>394</v>
      </c>
      <c r="W46" s="13" t="s">
        <v>387</v>
      </c>
      <c r="X46" s="147"/>
      <c r="Y46" s="13" t="s">
        <v>388</v>
      </c>
      <c r="Z46" s="13"/>
      <c r="AA46" s="13" t="s">
        <v>388</v>
      </c>
      <c r="AB46" s="13"/>
      <c r="AC46" s="13" t="s">
        <v>393</v>
      </c>
      <c r="AD46" s="13"/>
      <c r="AE46" s="13" t="s">
        <v>394</v>
      </c>
    </row>
    <row r="47" ht="13.5">
      <c r="A47" s="14" t="s">
        <v>419</v>
      </c>
    </row>
    <row r="48" spans="1:31" ht="13.5">
      <c r="A48" s="57" t="s">
        <v>404</v>
      </c>
      <c r="B48" s="177"/>
      <c r="C48" s="154">
        <v>1211321</v>
      </c>
      <c r="D48" s="158"/>
      <c r="E48" s="154">
        <v>600457</v>
      </c>
      <c r="F48" s="154"/>
      <c r="G48" s="154">
        <f>+E48+C48</f>
        <v>1811778</v>
      </c>
      <c r="H48" s="154"/>
      <c r="I48" s="154">
        <v>50622</v>
      </c>
      <c r="J48" s="154"/>
      <c r="K48" s="154">
        <f>+G48+I48</f>
        <v>1862400</v>
      </c>
      <c r="M48" s="154">
        <v>891453</v>
      </c>
      <c r="N48" s="158"/>
      <c r="O48" s="154">
        <v>550988</v>
      </c>
      <c r="P48" s="154"/>
      <c r="Q48" s="154">
        <f>+O48+M48</f>
        <v>1442441</v>
      </c>
      <c r="R48" s="154"/>
      <c r="S48" s="154">
        <v>84539</v>
      </c>
      <c r="T48" s="154"/>
      <c r="U48" s="154">
        <f>+Q48+S48</f>
        <v>1526980</v>
      </c>
      <c r="W48" s="154">
        <v>1450386</v>
      </c>
      <c r="X48" s="158"/>
      <c r="Y48" s="154">
        <v>1289489</v>
      </c>
      <c r="Z48" s="154"/>
      <c r="AA48" s="154">
        <f>+Y48+W48</f>
        <v>2739875</v>
      </c>
      <c r="AB48" s="154"/>
      <c r="AC48" s="154">
        <v>71796</v>
      </c>
      <c r="AD48" s="154"/>
      <c r="AE48" s="154">
        <f>+AA48+AC48</f>
        <v>2811671</v>
      </c>
    </row>
    <row r="49" spans="1:31" ht="13.5">
      <c r="A49" s="57" t="s">
        <v>405</v>
      </c>
      <c r="B49" s="177"/>
      <c r="C49" s="154">
        <v>795966</v>
      </c>
      <c r="D49" s="158"/>
      <c r="E49" s="154">
        <v>506459</v>
      </c>
      <c r="F49" s="154"/>
      <c r="G49" s="154">
        <f>+E49+C49</f>
        <v>1302425</v>
      </c>
      <c r="H49" s="154"/>
      <c r="I49" s="154">
        <v>33947</v>
      </c>
      <c r="J49" s="154"/>
      <c r="K49" s="154">
        <f>+G49+I49</f>
        <v>1336372</v>
      </c>
      <c r="M49" s="154">
        <v>586186</v>
      </c>
      <c r="N49" s="158"/>
      <c r="O49" s="154">
        <v>467511</v>
      </c>
      <c r="P49" s="154"/>
      <c r="Q49" s="154">
        <f>+O49+M49</f>
        <v>1053697</v>
      </c>
      <c r="R49" s="154"/>
      <c r="S49" s="154">
        <v>82125</v>
      </c>
      <c r="T49" s="154"/>
      <c r="U49" s="154">
        <f>+Q49+S49</f>
        <v>1135822</v>
      </c>
      <c r="W49" s="154">
        <v>1051867</v>
      </c>
      <c r="X49" s="158"/>
      <c r="Y49" s="154">
        <v>1046356</v>
      </c>
      <c r="Z49" s="154"/>
      <c r="AA49" s="154">
        <f>+Y49+W49</f>
        <v>2098223</v>
      </c>
      <c r="AB49" s="154"/>
      <c r="AC49" s="154">
        <v>69185</v>
      </c>
      <c r="AD49" s="154"/>
      <c r="AE49" s="154">
        <f>+AA49+AC49</f>
        <v>2167408</v>
      </c>
    </row>
    <row r="50" spans="1:31" ht="13.5">
      <c r="A50" s="57"/>
      <c r="B50" s="177"/>
      <c r="C50" s="57"/>
      <c r="D50" s="173"/>
      <c r="E50" s="57"/>
      <c r="F50" s="57"/>
      <c r="G50" s="57"/>
      <c r="H50" s="57"/>
      <c r="I50" s="57"/>
      <c r="J50" s="57"/>
      <c r="K50" s="57"/>
      <c r="M50" s="57"/>
      <c r="N50" s="173"/>
      <c r="O50" s="57"/>
      <c r="P50" s="57"/>
      <c r="Q50" s="57"/>
      <c r="R50" s="57"/>
      <c r="S50" s="57"/>
      <c r="T50" s="57"/>
      <c r="U50" s="57"/>
      <c r="W50" s="57"/>
      <c r="X50" s="173"/>
      <c r="Y50" s="57"/>
      <c r="Z50" s="57"/>
      <c r="AA50" s="57"/>
      <c r="AB50" s="57"/>
      <c r="AC50" s="57"/>
      <c r="AD50" s="57"/>
      <c r="AE50" s="57"/>
    </row>
    <row r="51" spans="1:31" ht="13.5">
      <c r="A51" s="57" t="s">
        <v>406</v>
      </c>
      <c r="B51" s="177"/>
      <c r="C51" s="154">
        <v>840281</v>
      </c>
      <c r="D51" s="158"/>
      <c r="E51" s="154">
        <v>506569</v>
      </c>
      <c r="F51" s="154"/>
      <c r="G51" s="154">
        <f>+C51+E51</f>
        <v>1346850</v>
      </c>
      <c r="H51" s="154"/>
      <c r="I51" s="154">
        <v>29085</v>
      </c>
      <c r="J51" s="154"/>
      <c r="K51" s="154">
        <f>+G51+I51</f>
        <v>1375935</v>
      </c>
      <c r="M51" s="154">
        <v>549776</v>
      </c>
      <c r="N51" s="158"/>
      <c r="O51" s="154">
        <v>495300</v>
      </c>
      <c r="P51" s="154"/>
      <c r="Q51" s="154">
        <f>+M51+O51</f>
        <v>1045076</v>
      </c>
      <c r="R51" s="154"/>
      <c r="S51" s="154">
        <v>23084</v>
      </c>
      <c r="T51" s="154"/>
      <c r="U51" s="154">
        <f>+Q51+S51</f>
        <v>1068160</v>
      </c>
      <c r="W51" s="154">
        <v>592656</v>
      </c>
      <c r="X51" s="158"/>
      <c r="Y51" s="154">
        <v>421167</v>
      </c>
      <c r="Z51" s="154"/>
      <c r="AA51" s="154">
        <f>+W51+Y51</f>
        <v>1013823</v>
      </c>
      <c r="AB51" s="154"/>
      <c r="AC51" s="154">
        <v>19130</v>
      </c>
      <c r="AD51" s="154"/>
      <c r="AE51" s="154">
        <f>+AA51+AC51</f>
        <v>1032953</v>
      </c>
    </row>
    <row r="52" spans="1:31" ht="13.5">
      <c r="A52" s="57" t="s">
        <v>395</v>
      </c>
      <c r="B52" s="177"/>
      <c r="C52" s="156">
        <v>5728</v>
      </c>
      <c r="D52" s="174"/>
      <c r="E52" s="156">
        <v>3464</v>
      </c>
      <c r="F52" s="156"/>
      <c r="G52" s="156">
        <f>+C52+E52</f>
        <v>9192</v>
      </c>
      <c r="H52" s="156"/>
      <c r="I52" s="156">
        <v>14912</v>
      </c>
      <c r="J52" s="156"/>
      <c r="K52" s="156">
        <f>+G52+I52</f>
        <v>24104</v>
      </c>
      <c r="M52" s="156">
        <v>10886</v>
      </c>
      <c r="N52" s="174"/>
      <c r="O52" s="156">
        <v>8506</v>
      </c>
      <c r="P52" s="156"/>
      <c r="Q52" s="156">
        <f>+M52+O52</f>
        <v>19392</v>
      </c>
      <c r="R52" s="156"/>
      <c r="S52" s="156">
        <v>4060</v>
      </c>
      <c r="T52" s="156"/>
      <c r="U52" s="156">
        <f>+Q52+S52</f>
        <v>23452</v>
      </c>
      <c r="W52" s="156">
        <v>6545</v>
      </c>
      <c r="X52" s="174"/>
      <c r="Y52" s="156">
        <v>899</v>
      </c>
      <c r="Z52" s="156"/>
      <c r="AA52" s="156">
        <f>+W52+Y52</f>
        <v>7444</v>
      </c>
      <c r="AB52" s="156"/>
      <c r="AC52" s="156">
        <v>1422</v>
      </c>
      <c r="AD52" s="156"/>
      <c r="AE52" s="156">
        <f>+AA52+AC52</f>
        <v>8866</v>
      </c>
    </row>
    <row r="53" spans="1:31" ht="13.5">
      <c r="A53" s="57"/>
      <c r="B53" s="177"/>
      <c r="C53" s="156"/>
      <c r="D53" s="174"/>
      <c r="E53" s="156"/>
      <c r="F53" s="156"/>
      <c r="G53" s="156"/>
      <c r="H53" s="156"/>
      <c r="I53" s="156"/>
      <c r="J53" s="156"/>
      <c r="K53" s="156"/>
      <c r="M53" s="156"/>
      <c r="N53" s="174"/>
      <c r="O53" s="156"/>
      <c r="P53" s="156"/>
      <c r="Q53" s="156"/>
      <c r="R53" s="156"/>
      <c r="S53" s="156"/>
      <c r="T53" s="156"/>
      <c r="U53" s="156"/>
      <c r="W53" s="156"/>
      <c r="X53" s="174"/>
      <c r="Y53" s="156"/>
      <c r="Z53" s="156"/>
      <c r="AA53" s="156"/>
      <c r="AB53" s="156"/>
      <c r="AC53" s="156"/>
      <c r="AD53" s="156"/>
      <c r="AE53" s="156"/>
    </row>
    <row r="54" spans="1:31" ht="13.5">
      <c r="A54" s="57" t="s">
        <v>396</v>
      </c>
      <c r="B54" s="177"/>
      <c r="C54" s="156">
        <v>515446</v>
      </c>
      <c r="D54" s="174"/>
      <c r="E54" s="156">
        <v>316645</v>
      </c>
      <c r="F54" s="156"/>
      <c r="G54" s="156">
        <f>+C54+E54</f>
        <v>832091</v>
      </c>
      <c r="H54" s="156"/>
      <c r="I54" s="156">
        <v>12091</v>
      </c>
      <c r="J54" s="156"/>
      <c r="K54" s="156">
        <f>+G54+I54</f>
        <v>844182</v>
      </c>
      <c r="M54" s="156">
        <v>410397</v>
      </c>
      <c r="N54" s="174"/>
      <c r="O54" s="156">
        <v>427561</v>
      </c>
      <c r="P54" s="156"/>
      <c r="Q54" s="156">
        <f>+M54+O54</f>
        <v>837958</v>
      </c>
      <c r="R54" s="156"/>
      <c r="S54" s="156">
        <v>6669</v>
      </c>
      <c r="T54" s="156"/>
      <c r="U54" s="156">
        <f>+Q54+S54</f>
        <v>844627</v>
      </c>
      <c r="W54" s="156">
        <v>376380</v>
      </c>
      <c r="X54" s="174"/>
      <c r="Y54" s="156">
        <v>264632</v>
      </c>
      <c r="Z54" s="156"/>
      <c r="AA54" s="156">
        <f>+W54+Y54</f>
        <v>641012</v>
      </c>
      <c r="AB54" s="156"/>
      <c r="AC54" s="156">
        <v>5912</v>
      </c>
      <c r="AD54" s="156"/>
      <c r="AE54" s="156">
        <f>+AA54+AC54</f>
        <v>646924</v>
      </c>
    </row>
    <row r="55" spans="1:31" ht="13.5">
      <c r="A55" s="57" t="s">
        <v>397</v>
      </c>
      <c r="B55" s="177"/>
      <c r="C55" s="156">
        <v>154732</v>
      </c>
      <c r="D55" s="174"/>
      <c r="E55" s="156">
        <v>113909</v>
      </c>
      <c r="F55" s="156"/>
      <c r="G55" s="156">
        <f>+C55+E55</f>
        <v>268641</v>
      </c>
      <c r="H55" s="156"/>
      <c r="I55" s="156">
        <v>17</v>
      </c>
      <c r="J55" s="156"/>
      <c r="K55" s="156">
        <f>+G55+I55</f>
        <v>268658</v>
      </c>
      <c r="M55" s="156">
        <v>67644</v>
      </c>
      <c r="N55" s="174"/>
      <c r="O55" s="156">
        <v>100295</v>
      </c>
      <c r="P55" s="156"/>
      <c r="Q55" s="156">
        <f>+M55+O55</f>
        <v>167939</v>
      </c>
      <c r="R55" s="156"/>
      <c r="S55" s="156">
        <v>5045</v>
      </c>
      <c r="T55" s="156"/>
      <c r="U55" s="156">
        <f>+Q55+S55</f>
        <v>172984</v>
      </c>
      <c r="W55" s="156">
        <v>91965</v>
      </c>
      <c r="X55" s="174"/>
      <c r="Y55" s="156">
        <v>92214</v>
      </c>
      <c r="Z55" s="156"/>
      <c r="AA55" s="156">
        <f>+W55+Y55</f>
        <v>184179</v>
      </c>
      <c r="AB55" s="156"/>
      <c r="AC55" s="156">
        <v>958</v>
      </c>
      <c r="AD55" s="156"/>
      <c r="AE55" s="156">
        <f>+AA55+AC55</f>
        <v>185137</v>
      </c>
    </row>
    <row r="56" spans="1:31" ht="13.5">
      <c r="A56" s="57" t="s">
        <v>398</v>
      </c>
      <c r="B56" s="177"/>
      <c r="C56" s="156">
        <v>95278</v>
      </c>
      <c r="D56" s="174"/>
      <c r="E56" s="156">
        <v>29944</v>
      </c>
      <c r="F56" s="156"/>
      <c r="G56" s="156">
        <f>+C56+E56</f>
        <v>125222</v>
      </c>
      <c r="H56" s="156"/>
      <c r="I56" s="156">
        <v>16569</v>
      </c>
      <c r="J56" s="156"/>
      <c r="K56" s="156">
        <f>+G56+I56</f>
        <v>141791</v>
      </c>
      <c r="M56" s="156">
        <v>111241</v>
      </c>
      <c r="N56" s="174"/>
      <c r="O56" s="156">
        <v>31021</v>
      </c>
      <c r="P56" s="156"/>
      <c r="Q56" s="156">
        <f>+M56+O56</f>
        <v>142262</v>
      </c>
      <c r="R56" s="156"/>
      <c r="S56" s="156">
        <v>12312</v>
      </c>
      <c r="T56" s="156"/>
      <c r="U56" s="156">
        <f>+Q56+S56</f>
        <v>154574</v>
      </c>
      <c r="W56" s="156">
        <v>88973</v>
      </c>
      <c r="X56" s="174"/>
      <c r="Y56" s="156">
        <v>18686</v>
      </c>
      <c r="Z56" s="156"/>
      <c r="AA56" s="156">
        <f>+W56+Y56</f>
        <v>107659</v>
      </c>
      <c r="AB56" s="156"/>
      <c r="AC56" s="156">
        <v>14990</v>
      </c>
      <c r="AD56" s="156"/>
      <c r="AE56" s="156">
        <f>+AA56+AC56</f>
        <v>122649</v>
      </c>
    </row>
    <row r="57" spans="1:31" ht="13.5">
      <c r="A57" s="57" t="s">
        <v>469</v>
      </c>
      <c r="B57" s="177"/>
      <c r="C57" s="180">
        <v>-6768</v>
      </c>
      <c r="D57" s="175"/>
      <c r="E57" s="156">
        <v>-8614</v>
      </c>
      <c r="F57" s="57"/>
      <c r="G57" s="156">
        <f>+C57+E57</f>
        <v>-15382</v>
      </c>
      <c r="H57" s="156"/>
      <c r="I57" s="156">
        <v>0</v>
      </c>
      <c r="J57" s="154"/>
      <c r="K57" s="156">
        <f>+G57+I57</f>
        <v>-15382</v>
      </c>
      <c r="M57" s="180">
        <v>-22181</v>
      </c>
      <c r="N57" s="175"/>
      <c r="O57" s="156">
        <v>-1025</v>
      </c>
      <c r="P57" s="57"/>
      <c r="Q57" s="156">
        <f>+M57+O57</f>
        <v>-23206</v>
      </c>
      <c r="R57" s="156"/>
      <c r="S57" s="156">
        <v>0</v>
      </c>
      <c r="T57" s="154"/>
      <c r="U57" s="156">
        <f>+Q57+S57</f>
        <v>-23206</v>
      </c>
      <c r="W57" s="180">
        <v>-2112</v>
      </c>
      <c r="X57" s="175"/>
      <c r="Y57" s="156">
        <v>-6252</v>
      </c>
      <c r="Z57" s="57"/>
      <c r="AA57" s="156">
        <f>+W57+Y57</f>
        <v>-8364</v>
      </c>
      <c r="AB57" s="156"/>
      <c r="AC57" s="156">
        <v>0</v>
      </c>
      <c r="AD57" s="154"/>
      <c r="AE57" s="156">
        <f>+AA57+AC57</f>
        <v>-8364</v>
      </c>
    </row>
    <row r="58" spans="1:31" ht="13.5">
      <c r="A58" s="57"/>
      <c r="B58" s="177"/>
      <c r="C58" s="57"/>
      <c r="D58" s="173"/>
      <c r="E58" s="57"/>
      <c r="F58" s="57"/>
      <c r="G58" s="57"/>
      <c r="H58" s="156"/>
      <c r="I58" s="57"/>
      <c r="J58" s="154"/>
      <c r="K58" s="57"/>
      <c r="M58" s="57"/>
      <c r="N58" s="173"/>
      <c r="O58" s="57"/>
      <c r="P58" s="57"/>
      <c r="Q58" s="57"/>
      <c r="R58" s="156"/>
      <c r="S58" s="57"/>
      <c r="T58" s="154"/>
      <c r="U58" s="57"/>
      <c r="W58" s="57"/>
      <c r="X58" s="173"/>
      <c r="Y58" s="57"/>
      <c r="Z58" s="57"/>
      <c r="AA58" s="57"/>
      <c r="AB58" s="156"/>
      <c r="AC58" s="57"/>
      <c r="AD58" s="154"/>
      <c r="AE58" s="57"/>
    </row>
    <row r="59" spans="1:31" ht="13.5">
      <c r="A59" s="57" t="s">
        <v>342</v>
      </c>
      <c r="B59" s="177"/>
      <c r="C59" s="157">
        <f>+C51+C52-C54-C55-C56-C57</f>
        <v>87321</v>
      </c>
      <c r="D59" s="158"/>
      <c r="E59" s="157">
        <f>+E51+E52-E54-E55-E56-E57</f>
        <v>58149</v>
      </c>
      <c r="F59" s="57"/>
      <c r="G59" s="157">
        <f>+G51+G52-G54-G55-G56-G57</f>
        <v>145470</v>
      </c>
      <c r="H59" s="156"/>
      <c r="I59" s="157">
        <f>+I51+I52-I54-I55-I56-I57</f>
        <v>15320</v>
      </c>
      <c r="J59" s="154"/>
      <c r="K59" s="157">
        <f>+K51+K52-K54-K55-K56-K57</f>
        <v>160790</v>
      </c>
      <c r="M59" s="157">
        <f>+M51+M52-M54-M55-M56-M57</f>
        <v>-6439</v>
      </c>
      <c r="N59" s="158"/>
      <c r="O59" s="157">
        <f>+O51+O52-O54-O55-O56-O57</f>
        <v>-54046</v>
      </c>
      <c r="P59" s="57"/>
      <c r="Q59" s="157">
        <f>+Q51+Q52-Q54-Q55-Q56-Q57</f>
        <v>-60485</v>
      </c>
      <c r="R59" s="156"/>
      <c r="S59" s="157">
        <f>+S51+S52-S54-S55-S56-S57</f>
        <v>3118</v>
      </c>
      <c r="T59" s="154"/>
      <c r="U59" s="157">
        <f>+U51+U52-U54-U55-U56-U57</f>
        <v>-57367</v>
      </c>
      <c r="W59" s="157">
        <f>+W51+W52-W54-W55-W56-W57</f>
        <v>43995</v>
      </c>
      <c r="X59" s="158"/>
      <c r="Y59" s="157">
        <f>+Y51+Y52-Y54-Y55-Y56-Y57</f>
        <v>52786</v>
      </c>
      <c r="Z59" s="57"/>
      <c r="AA59" s="157">
        <f>+AA51+AA52-AA54-AA55-AA56-AA57</f>
        <v>96781</v>
      </c>
      <c r="AB59" s="156"/>
      <c r="AC59" s="157">
        <f>+AC51+AC52-AC54-AC55-AC56-AC57</f>
        <v>-1308</v>
      </c>
      <c r="AD59" s="154"/>
      <c r="AE59" s="157">
        <f>+AE51+AE52-AE54-AE55-AE56-AE57</f>
        <v>95473</v>
      </c>
    </row>
    <row r="60" spans="3:31" ht="13.5">
      <c r="C60" s="57"/>
      <c r="D60" s="173"/>
      <c r="E60" s="57"/>
      <c r="F60" s="57"/>
      <c r="G60" s="57"/>
      <c r="H60" s="156"/>
      <c r="I60" s="57"/>
      <c r="J60" s="154"/>
      <c r="K60" s="57"/>
      <c r="M60" s="57"/>
      <c r="N60" s="173"/>
      <c r="O60" s="57"/>
      <c r="P60" s="57"/>
      <c r="Q60" s="57"/>
      <c r="R60" s="156"/>
      <c r="S60" s="57"/>
      <c r="T60" s="154"/>
      <c r="U60" s="57"/>
      <c r="W60" s="57"/>
      <c r="X60" s="173"/>
      <c r="Y60" s="57"/>
      <c r="Z60" s="57"/>
      <c r="AA60" s="57"/>
      <c r="AB60" s="156"/>
      <c r="AC60" s="57"/>
      <c r="AD60" s="154"/>
      <c r="AE60" s="57"/>
    </row>
    <row r="61" spans="1:31" ht="13.5">
      <c r="A61" s="57" t="s">
        <v>2</v>
      </c>
      <c r="B61" s="178"/>
      <c r="C61" s="57"/>
      <c r="D61" s="173"/>
      <c r="E61" s="57"/>
      <c r="F61" s="57"/>
      <c r="G61" s="57"/>
      <c r="H61" s="57"/>
      <c r="I61" s="57"/>
      <c r="J61" s="154"/>
      <c r="K61" s="156">
        <v>-8898</v>
      </c>
      <c r="M61" s="57"/>
      <c r="N61" s="173"/>
      <c r="O61" s="57"/>
      <c r="P61" s="57"/>
      <c r="Q61" s="57"/>
      <c r="R61" s="57"/>
      <c r="S61" s="57"/>
      <c r="T61" s="154"/>
      <c r="U61" s="156">
        <v>-6713</v>
      </c>
      <c r="W61" s="57"/>
      <c r="X61" s="173"/>
      <c r="Y61" s="57"/>
      <c r="Z61" s="57"/>
      <c r="AA61" s="57"/>
      <c r="AB61" s="57"/>
      <c r="AC61" s="57"/>
      <c r="AD61" s="154"/>
      <c r="AE61" s="156">
        <v>-13200</v>
      </c>
    </row>
    <row r="62" spans="3:31" ht="13.5">
      <c r="C62" s="57"/>
      <c r="D62" s="173"/>
      <c r="E62" s="57"/>
      <c r="F62" s="57"/>
      <c r="G62" s="57"/>
      <c r="H62" s="57"/>
      <c r="I62" s="57"/>
      <c r="J62" s="154"/>
      <c r="K62" s="179"/>
      <c r="M62" s="57"/>
      <c r="N62" s="173"/>
      <c r="O62" s="57"/>
      <c r="P62" s="57"/>
      <c r="Q62" s="57"/>
      <c r="R62" s="57"/>
      <c r="S62" s="57"/>
      <c r="T62" s="154"/>
      <c r="U62" s="179"/>
      <c r="W62" s="57"/>
      <c r="X62" s="173"/>
      <c r="Y62" s="57"/>
      <c r="Z62" s="57"/>
      <c r="AA62" s="57"/>
      <c r="AB62" s="57"/>
      <c r="AC62" s="57"/>
      <c r="AD62" s="154"/>
      <c r="AE62" s="179"/>
    </row>
    <row r="63" spans="1:31" ht="13.5">
      <c r="A63" s="152" t="s">
        <v>584</v>
      </c>
      <c r="C63" s="57"/>
      <c r="D63" s="173"/>
      <c r="E63" s="57"/>
      <c r="F63" s="57"/>
      <c r="G63" s="57"/>
      <c r="H63" s="57"/>
      <c r="I63" s="57"/>
      <c r="J63" s="154"/>
      <c r="K63" s="179"/>
      <c r="M63" s="57"/>
      <c r="N63" s="173"/>
      <c r="O63" s="57"/>
      <c r="P63" s="57"/>
      <c r="Q63" s="57"/>
      <c r="R63" s="57"/>
      <c r="S63" s="57"/>
      <c r="T63" s="154"/>
      <c r="U63" s="179"/>
      <c r="W63" s="57"/>
      <c r="X63" s="173"/>
      <c r="Y63" s="57"/>
      <c r="Z63" s="57"/>
      <c r="AA63" s="57"/>
      <c r="AB63" s="57"/>
      <c r="AC63" s="57"/>
      <c r="AD63" s="154"/>
      <c r="AE63" s="179"/>
    </row>
    <row r="64" spans="1:31" ht="13.5">
      <c r="A64" s="57" t="s">
        <v>343</v>
      </c>
      <c r="C64" s="181">
        <f>+C54/C51</f>
        <v>0.6134209865509276</v>
      </c>
      <c r="D64" s="172"/>
      <c r="E64" s="181">
        <f>+E54/E51</f>
        <v>0.6250777287990382</v>
      </c>
      <c r="F64" s="57"/>
      <c r="G64" s="181">
        <f>+G54/G51</f>
        <v>0.6178052492853696</v>
      </c>
      <c r="H64" s="181"/>
      <c r="I64" s="57"/>
      <c r="J64" s="154"/>
      <c r="K64" s="57"/>
      <c r="M64" s="181">
        <f>+M54/M51</f>
        <v>0.7464803847385116</v>
      </c>
      <c r="N64" s="172"/>
      <c r="O64" s="181">
        <f>+O54/O51</f>
        <v>0.8632364223702806</v>
      </c>
      <c r="P64" s="57"/>
      <c r="Q64" s="181">
        <f>+Q54/Q51</f>
        <v>0.8018153703654088</v>
      </c>
      <c r="R64" s="181"/>
      <c r="S64" s="57"/>
      <c r="T64" s="154"/>
      <c r="U64" s="57"/>
      <c r="W64" s="181">
        <f>+W54/W51</f>
        <v>0.6350732971572042</v>
      </c>
      <c r="X64" s="172"/>
      <c r="Y64" s="181">
        <f>+Y54/Y51</f>
        <v>0.6283303297741751</v>
      </c>
      <c r="Z64" s="57"/>
      <c r="AA64" s="181">
        <f>+AA54/AA51</f>
        <v>0.6322721027240455</v>
      </c>
      <c r="AB64" s="181"/>
      <c r="AC64" s="57"/>
      <c r="AD64" s="154"/>
      <c r="AE64" s="57"/>
    </row>
    <row r="65" spans="1:31" ht="13.5">
      <c r="A65" s="57" t="s">
        <v>483</v>
      </c>
      <c r="C65" s="181">
        <f>+(C56+C55)/C51</f>
        <v>0.2975314210365342</v>
      </c>
      <c r="D65" s="172"/>
      <c r="E65" s="181">
        <f>+(E56+E55)/E51</f>
        <v>0.28397513468056673</v>
      </c>
      <c r="F65" s="57"/>
      <c r="G65" s="181">
        <f>+(G56+G55)/G51</f>
        <v>0.29243271336822957</v>
      </c>
      <c r="H65" s="181"/>
      <c r="I65" s="57"/>
      <c r="J65" s="154"/>
      <c r="K65" s="57"/>
      <c r="M65" s="181">
        <f>+(M56+M55)/M51+0.001</f>
        <v>0.32637797211955416</v>
      </c>
      <c r="N65" s="172"/>
      <c r="O65" s="181">
        <f>+(O56+O55)/O51</f>
        <v>0.26512416717141124</v>
      </c>
      <c r="P65" s="57"/>
      <c r="Q65" s="181">
        <f>+(Q56+Q55)/Q51</f>
        <v>0.29682147518457985</v>
      </c>
      <c r="R65" s="181"/>
      <c r="S65" s="57"/>
      <c r="T65" s="154"/>
      <c r="U65" s="57"/>
      <c r="W65" s="181">
        <f>+(W56+W55)/W51</f>
        <v>0.3053002078777571</v>
      </c>
      <c r="X65" s="172"/>
      <c r="Y65" s="181">
        <f>+(Y56+Y55)/Y51-0.001</f>
        <v>0.2623159767978023</v>
      </c>
      <c r="Z65" s="57"/>
      <c r="AA65" s="181">
        <f>+(AA56+AA55)/AA51</f>
        <v>0.28785892606500346</v>
      </c>
      <c r="AB65" s="181"/>
      <c r="AC65" s="57"/>
      <c r="AD65" s="154"/>
      <c r="AE65" s="57"/>
    </row>
    <row r="66" spans="1:31" ht="14.25" thickBot="1">
      <c r="A66" s="57" t="s">
        <v>346</v>
      </c>
      <c r="C66" s="182">
        <f>+C64+C65</f>
        <v>0.9109524075874618</v>
      </c>
      <c r="D66" s="172"/>
      <c r="E66" s="182">
        <f>+E64+E65</f>
        <v>0.9090528634796049</v>
      </c>
      <c r="F66" s="57"/>
      <c r="G66" s="182">
        <f>+G64+G65</f>
        <v>0.9102379626535992</v>
      </c>
      <c r="H66" s="172"/>
      <c r="I66" s="57"/>
      <c r="J66" s="154"/>
      <c r="K66" s="57"/>
      <c r="M66" s="182">
        <f>+M64+M65-0.001</f>
        <v>1.071858356858066</v>
      </c>
      <c r="N66" s="172"/>
      <c r="O66" s="182">
        <f>+O64+O65</f>
        <v>1.128360589541692</v>
      </c>
      <c r="P66" s="57"/>
      <c r="Q66" s="182">
        <f>+Q64+Q65</f>
        <v>1.0986368455499886</v>
      </c>
      <c r="R66" s="172"/>
      <c r="S66" s="57"/>
      <c r="T66" s="154"/>
      <c r="U66" s="57"/>
      <c r="W66" s="182">
        <f>+W64+W65</f>
        <v>0.9403735050349613</v>
      </c>
      <c r="X66" s="172"/>
      <c r="Y66" s="182">
        <f>+Y64+Y65</f>
        <v>0.8906463065719774</v>
      </c>
      <c r="Z66" s="57"/>
      <c r="AA66" s="182">
        <f>+AA64+AA65</f>
        <v>0.920131028789049</v>
      </c>
      <c r="AB66" s="172"/>
      <c r="AC66" s="57"/>
      <c r="AD66" s="154"/>
      <c r="AE66" s="57"/>
    </row>
    <row r="67" ht="14.25" thickTop="1">
      <c r="M67" s="1" t="s">
        <v>13</v>
      </c>
    </row>
    <row r="70" ht="13.5">
      <c r="A70" s="14" t="s">
        <v>315</v>
      </c>
    </row>
    <row r="71" spans="1:31" ht="13.5" customHeight="1">
      <c r="A71" s="332" t="s">
        <v>16</v>
      </c>
      <c r="B71" s="332"/>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row>
    <row r="72" spans="1:11" ht="13.5">
      <c r="A72" s="24"/>
      <c r="B72" s="24"/>
      <c r="C72" s="24"/>
      <c r="D72" s="24"/>
      <c r="E72" s="24"/>
      <c r="F72" s="24"/>
      <c r="G72" s="24"/>
      <c r="H72" s="24"/>
      <c r="I72" s="24"/>
      <c r="J72" s="24"/>
      <c r="K72" s="24"/>
    </row>
  </sheetData>
  <mergeCells count="11">
    <mergeCell ref="A1:AE1"/>
    <mergeCell ref="A2:AE2"/>
    <mergeCell ref="M10:U10"/>
    <mergeCell ref="W10:AE10"/>
    <mergeCell ref="A10:B10"/>
    <mergeCell ref="C10:K10"/>
    <mergeCell ref="C43:K43"/>
    <mergeCell ref="M43:U43"/>
    <mergeCell ref="W43:AE43"/>
    <mergeCell ref="A71:AE71"/>
    <mergeCell ref="A43:B43"/>
  </mergeCells>
  <printOptions horizontalCentered="1" verticalCentered="1"/>
  <pageMargins left="0.75" right="0.75" top="1.09" bottom="1.09" header="0.5" footer="0.5"/>
  <pageSetup fitToHeight="1" fitToWidth="1" horizontalDpi="600" verticalDpi="600" orientation="landscape" scale="47" r:id="rId2"/>
  <headerFooter alignWithMargins="0">
    <oddHeader>&amp;L&amp;G&amp;C&amp;"Optima,Bold"&amp;18SEGMENT INFORMATION - 2002 QUARTERLY
&amp;"Optima,Regular"&amp;12(U.S. dollars in thousands)
(Unaudited)</oddHeader>
    <oddFooter>&amp;C&amp;"Optima,Regular"10</oddFooter>
  </headerFooter>
  <legacyDrawingHF r:id="rId1"/>
</worksheet>
</file>

<file path=xl/worksheets/sheet15.xml><?xml version="1.0" encoding="utf-8"?>
<worksheet xmlns="http://schemas.openxmlformats.org/spreadsheetml/2006/main" xmlns:r="http://schemas.openxmlformats.org/officeDocument/2006/relationships">
  <sheetPr codeName="Sheet38">
    <pageSetUpPr fitToPage="1"/>
  </sheetPr>
  <dimension ref="A1:AO71"/>
  <sheetViews>
    <sheetView workbookViewId="0" topLeftCell="A1">
      <selection activeCell="A1" sqref="A1:IV16384"/>
    </sheetView>
  </sheetViews>
  <sheetFormatPr defaultColWidth="9.140625" defaultRowHeight="12.75"/>
  <cols>
    <col min="1" max="1" width="3.57421875" style="1" customWidth="1"/>
    <col min="2" max="2" width="18.7109375" style="0" customWidth="1"/>
    <col min="3" max="3" width="11.57421875" style="1" customWidth="1"/>
    <col min="4" max="4" width="1.421875" style="56" customWidth="1"/>
    <col min="5" max="5" width="13.421875" style="1" customWidth="1"/>
    <col min="6" max="6" width="1.57421875" style="1" customWidth="1"/>
    <col min="7" max="7" width="13.8515625" style="1" customWidth="1"/>
    <col min="8" max="8" width="1.421875" style="1" customWidth="1"/>
    <col min="9" max="9" width="13.28125" style="1" customWidth="1"/>
    <col min="10" max="10" width="1.421875" style="1" customWidth="1"/>
    <col min="11" max="11" width="11.8515625" style="1" customWidth="1"/>
    <col min="12" max="12" width="6.7109375" style="1" customWidth="1"/>
    <col min="13" max="13" width="11.57421875" style="1" customWidth="1"/>
    <col min="14" max="14" width="1.421875" style="56" customWidth="1"/>
    <col min="15" max="15" width="13.421875" style="1" customWidth="1"/>
    <col min="16" max="16" width="1.57421875" style="1" customWidth="1"/>
    <col min="17" max="17" width="13.8515625" style="1" customWidth="1"/>
    <col min="18" max="18" width="1.421875" style="1" customWidth="1"/>
    <col min="19" max="19" width="13.28125" style="1" customWidth="1"/>
    <col min="20" max="20" width="1.421875" style="1" customWidth="1"/>
    <col min="21" max="21" width="11.8515625" style="1" customWidth="1"/>
    <col min="22" max="22" width="6.7109375" style="1" customWidth="1"/>
    <col min="23" max="23" width="11.57421875" style="1" customWidth="1"/>
    <col min="24" max="24" width="1.421875" style="56" customWidth="1"/>
    <col min="25" max="25" width="13.421875" style="1" customWidth="1"/>
    <col min="26" max="26" width="1.57421875" style="1" customWidth="1"/>
    <col min="27" max="27" width="13.8515625" style="1" customWidth="1"/>
    <col min="28" max="28" width="1.421875" style="1" customWidth="1"/>
    <col min="29" max="29" width="13.28125" style="1" customWidth="1"/>
    <col min="30" max="30" width="1.421875" style="1" customWidth="1"/>
    <col min="31" max="31" width="11.8515625" style="1" customWidth="1"/>
    <col min="32" max="32" width="6.7109375" style="1" customWidth="1"/>
    <col min="33" max="33" width="11.57421875" style="1" customWidth="1"/>
    <col min="34" max="34" width="1.421875" style="56" customWidth="1"/>
    <col min="35" max="35" width="13.421875" style="1" customWidth="1"/>
    <col min="36" max="36" width="1.57421875" style="1" customWidth="1"/>
    <col min="37" max="37" width="13.8515625" style="1" customWidth="1"/>
    <col min="38" max="38" width="1.421875" style="1" customWidth="1"/>
    <col min="39" max="39" width="13.28125" style="1" customWidth="1"/>
    <col min="40" max="40" width="1.421875" style="1" customWidth="1"/>
    <col min="41" max="41" width="11.8515625" style="1" customWidth="1"/>
    <col min="42" max="16384" width="9.140625" style="1" customWidth="1"/>
  </cols>
  <sheetData>
    <row r="1" spans="1:41" ht="24">
      <c r="A1" s="340" t="s">
        <v>299</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row>
    <row r="2" spans="1:41" ht="24">
      <c r="A2" s="340" t="s">
        <v>603</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row>
    <row r="3" spans="1:41" ht="24">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row>
    <row r="4" spans="1:41" ht="24">
      <c r="A4" s="18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row>
    <row r="5" spans="1:41" ht="24">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row>
    <row r="6" spans="1:41" ht="24">
      <c r="A6" s="189"/>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row>
    <row r="7" ht="23.25" customHeight="1"/>
    <row r="9" spans="2:41" ht="15">
      <c r="B9" s="193"/>
      <c r="C9" s="339" t="s">
        <v>21</v>
      </c>
      <c r="D9" s="339"/>
      <c r="E9" s="339"/>
      <c r="F9" s="339"/>
      <c r="G9" s="339"/>
      <c r="H9" s="339"/>
      <c r="I9" s="339"/>
      <c r="J9" s="339"/>
      <c r="K9" s="339"/>
      <c r="M9" s="339" t="s">
        <v>22</v>
      </c>
      <c r="N9" s="339"/>
      <c r="O9" s="339"/>
      <c r="P9" s="339"/>
      <c r="Q9" s="339"/>
      <c r="R9" s="339"/>
      <c r="S9" s="339"/>
      <c r="T9" s="339"/>
      <c r="U9" s="339"/>
      <c r="W9" s="339" t="s">
        <v>23</v>
      </c>
      <c r="X9" s="339"/>
      <c r="Y9" s="339"/>
      <c r="Z9" s="339"/>
      <c r="AA9" s="339"/>
      <c r="AB9" s="339"/>
      <c r="AC9" s="339"/>
      <c r="AD9" s="339"/>
      <c r="AE9" s="339"/>
      <c r="AG9" s="339" t="s">
        <v>24</v>
      </c>
      <c r="AH9" s="339"/>
      <c r="AI9" s="339"/>
      <c r="AJ9" s="339"/>
      <c r="AK9" s="339"/>
      <c r="AL9" s="339"/>
      <c r="AM9" s="339"/>
      <c r="AN9" s="339"/>
      <c r="AO9" s="339"/>
    </row>
    <row r="10" spans="2:41" ht="13.5">
      <c r="B10" s="183"/>
      <c r="C10" s="36"/>
      <c r="D10" s="146"/>
      <c r="E10" s="36"/>
      <c r="F10" s="36"/>
      <c r="G10" s="13" t="s">
        <v>389</v>
      </c>
      <c r="H10" s="13"/>
      <c r="I10" s="13" t="s">
        <v>391</v>
      </c>
      <c r="J10" s="13"/>
      <c r="K10" s="36"/>
      <c r="M10" s="36"/>
      <c r="N10" s="146"/>
      <c r="O10" s="36"/>
      <c r="P10" s="36"/>
      <c r="Q10" s="13" t="s">
        <v>389</v>
      </c>
      <c r="R10" s="13"/>
      <c r="S10" s="13" t="s">
        <v>391</v>
      </c>
      <c r="T10" s="13"/>
      <c r="U10" s="36"/>
      <c r="W10" s="36"/>
      <c r="X10" s="146"/>
      <c r="Y10" s="36"/>
      <c r="Z10" s="36"/>
      <c r="AA10" s="13" t="s">
        <v>389</v>
      </c>
      <c r="AB10" s="13"/>
      <c r="AC10" s="13" t="s">
        <v>391</v>
      </c>
      <c r="AD10" s="13"/>
      <c r="AE10" s="36"/>
      <c r="AG10" s="36"/>
      <c r="AH10" s="146"/>
      <c r="AI10" s="36"/>
      <c r="AJ10" s="36"/>
      <c r="AK10" s="13" t="s">
        <v>389</v>
      </c>
      <c r="AL10" s="13"/>
      <c r="AM10" s="13" t="s">
        <v>391</v>
      </c>
      <c r="AN10" s="13"/>
      <c r="AO10" s="36"/>
    </row>
    <row r="11" spans="2:41" ht="13.5">
      <c r="B11" s="183"/>
      <c r="C11" s="36"/>
      <c r="D11" s="146"/>
      <c r="E11" s="36"/>
      <c r="F11" s="36"/>
      <c r="G11" s="13" t="s">
        <v>390</v>
      </c>
      <c r="H11" s="13"/>
      <c r="I11" s="13" t="s">
        <v>392</v>
      </c>
      <c r="J11" s="13"/>
      <c r="K11" s="36"/>
      <c r="M11" s="36"/>
      <c r="N11" s="146"/>
      <c r="O11" s="36"/>
      <c r="P11" s="36"/>
      <c r="Q11" s="13" t="s">
        <v>390</v>
      </c>
      <c r="R11" s="13"/>
      <c r="S11" s="13" t="s">
        <v>392</v>
      </c>
      <c r="T11" s="13"/>
      <c r="U11" s="36"/>
      <c r="W11" s="36"/>
      <c r="X11" s="146"/>
      <c r="Y11" s="36"/>
      <c r="Z11" s="36"/>
      <c r="AA11" s="13" t="s">
        <v>390</v>
      </c>
      <c r="AB11" s="13"/>
      <c r="AC11" s="13" t="s">
        <v>392</v>
      </c>
      <c r="AD11" s="13"/>
      <c r="AE11" s="36"/>
      <c r="AG11" s="36"/>
      <c r="AH11" s="146"/>
      <c r="AI11" s="36"/>
      <c r="AJ11" s="36"/>
      <c r="AK11" s="13" t="s">
        <v>390</v>
      </c>
      <c r="AL11" s="13"/>
      <c r="AM11" s="13" t="s">
        <v>392</v>
      </c>
      <c r="AN11" s="13"/>
      <c r="AO11" s="36"/>
    </row>
    <row r="12" spans="2:41" ht="13.5">
      <c r="B12" s="183"/>
      <c r="C12" s="13" t="s">
        <v>387</v>
      </c>
      <c r="D12" s="147"/>
      <c r="E12" s="13" t="s">
        <v>388</v>
      </c>
      <c r="F12" s="13"/>
      <c r="G12" s="13" t="s">
        <v>388</v>
      </c>
      <c r="H12" s="13"/>
      <c r="I12" s="13" t="s">
        <v>393</v>
      </c>
      <c r="J12" s="13"/>
      <c r="K12" s="13" t="s">
        <v>394</v>
      </c>
      <c r="M12" s="13" t="s">
        <v>387</v>
      </c>
      <c r="N12" s="147"/>
      <c r="O12" s="13" t="s">
        <v>388</v>
      </c>
      <c r="P12" s="13"/>
      <c r="Q12" s="13" t="s">
        <v>388</v>
      </c>
      <c r="R12" s="13"/>
      <c r="S12" s="13" t="s">
        <v>393</v>
      </c>
      <c r="T12" s="13"/>
      <c r="U12" s="13" t="s">
        <v>394</v>
      </c>
      <c r="W12" s="13" t="s">
        <v>387</v>
      </c>
      <c r="X12" s="147"/>
      <c r="Y12" s="13" t="s">
        <v>388</v>
      </c>
      <c r="Z12" s="13"/>
      <c r="AA12" s="13" t="s">
        <v>388</v>
      </c>
      <c r="AB12" s="13"/>
      <c r="AC12" s="13" t="s">
        <v>393</v>
      </c>
      <c r="AD12" s="13"/>
      <c r="AE12" s="13" t="s">
        <v>394</v>
      </c>
      <c r="AG12" s="13" t="s">
        <v>387</v>
      </c>
      <c r="AH12" s="147"/>
      <c r="AI12" s="13" t="s">
        <v>388</v>
      </c>
      <c r="AJ12" s="13"/>
      <c r="AK12" s="13" t="s">
        <v>388</v>
      </c>
      <c r="AL12" s="13"/>
      <c r="AM12" s="13" t="s">
        <v>393</v>
      </c>
      <c r="AN12" s="13"/>
      <c r="AO12" s="13" t="s">
        <v>394</v>
      </c>
    </row>
    <row r="13" ht="13.5">
      <c r="A13" s="14" t="s">
        <v>419</v>
      </c>
    </row>
    <row r="14" spans="1:41" ht="13.5">
      <c r="A14" s="57" t="s">
        <v>404</v>
      </c>
      <c r="B14" s="177"/>
      <c r="C14" s="154">
        <v>909775</v>
      </c>
      <c r="D14" s="158"/>
      <c r="E14" s="154">
        <v>483775</v>
      </c>
      <c r="F14" s="154"/>
      <c r="G14" s="154">
        <f>+E14+C14</f>
        <v>1393550</v>
      </c>
      <c r="H14" s="154"/>
      <c r="I14" s="154">
        <v>33347</v>
      </c>
      <c r="J14" s="154"/>
      <c r="K14" s="154">
        <f>+G14+I14</f>
        <v>1426897</v>
      </c>
      <c r="M14" s="154">
        <v>706379</v>
      </c>
      <c r="N14" s="158"/>
      <c r="O14" s="154">
        <v>416110</v>
      </c>
      <c r="P14" s="154"/>
      <c r="Q14" s="154">
        <f>+O14+M14</f>
        <v>1122489</v>
      </c>
      <c r="R14" s="154"/>
      <c r="S14" s="154">
        <v>19647</v>
      </c>
      <c r="T14" s="154"/>
      <c r="U14" s="154">
        <f>+Q14+S14</f>
        <v>1142136</v>
      </c>
      <c r="W14" s="154">
        <v>625587</v>
      </c>
      <c r="X14" s="158"/>
      <c r="Y14" s="154">
        <v>351046</v>
      </c>
      <c r="Z14" s="154"/>
      <c r="AA14" s="154">
        <f>+Y14+W14</f>
        <v>976633</v>
      </c>
      <c r="AB14" s="154"/>
      <c r="AC14" s="154">
        <v>29214</v>
      </c>
      <c r="AD14" s="154"/>
      <c r="AE14" s="154">
        <f>+AA14+AC14</f>
        <v>1005847</v>
      </c>
      <c r="AG14" s="154">
        <v>571238</v>
      </c>
      <c r="AH14" s="158"/>
      <c r="AI14" s="154">
        <v>567618</v>
      </c>
      <c r="AJ14" s="154"/>
      <c r="AK14" s="154">
        <f>+AI14+AG14</f>
        <v>1138856</v>
      </c>
      <c r="AL14" s="154"/>
      <c r="AM14" s="154">
        <v>11989</v>
      </c>
      <c r="AN14" s="154"/>
      <c r="AO14" s="154">
        <f>+AK14+AM14</f>
        <v>1150845</v>
      </c>
    </row>
    <row r="15" spans="1:41" ht="13.5">
      <c r="A15" s="57" t="s">
        <v>405</v>
      </c>
      <c r="B15" s="177"/>
      <c r="C15" s="154">
        <v>613390</v>
      </c>
      <c r="D15" s="158"/>
      <c r="E15" s="154">
        <v>182689</v>
      </c>
      <c r="F15" s="154"/>
      <c r="G15" s="154">
        <f>+E15+C15</f>
        <v>796079</v>
      </c>
      <c r="H15" s="154"/>
      <c r="I15" s="154">
        <v>27095</v>
      </c>
      <c r="J15" s="154"/>
      <c r="K15" s="154">
        <f>+G15+I15</f>
        <v>823174</v>
      </c>
      <c r="M15" s="154">
        <v>352201</v>
      </c>
      <c r="N15" s="158"/>
      <c r="O15" s="154">
        <v>114285</v>
      </c>
      <c r="P15" s="154"/>
      <c r="Q15" s="154">
        <f>+O15+M15</f>
        <v>466486</v>
      </c>
      <c r="R15" s="154"/>
      <c r="S15" s="154">
        <v>19305</v>
      </c>
      <c r="T15" s="154"/>
      <c r="U15" s="154">
        <f>+Q15+S15</f>
        <v>485791</v>
      </c>
      <c r="W15" s="154">
        <v>462558</v>
      </c>
      <c r="X15" s="158"/>
      <c r="Y15" s="154">
        <v>257600</v>
      </c>
      <c r="Z15" s="154"/>
      <c r="AA15" s="154">
        <f>+Y15+W15</f>
        <v>720158</v>
      </c>
      <c r="AB15" s="154"/>
      <c r="AC15" s="154">
        <v>28994</v>
      </c>
      <c r="AD15" s="154"/>
      <c r="AE15" s="154">
        <f>+AA15+AC15</f>
        <v>749152</v>
      </c>
      <c r="AG15" s="154">
        <v>342227</v>
      </c>
      <c r="AH15" s="158"/>
      <c r="AI15" s="154">
        <v>458094</v>
      </c>
      <c r="AJ15" s="154"/>
      <c r="AK15" s="154">
        <f>+AI15+AG15</f>
        <v>800321</v>
      </c>
      <c r="AL15" s="154"/>
      <c r="AM15" s="154">
        <v>11933</v>
      </c>
      <c r="AN15" s="154"/>
      <c r="AO15" s="154">
        <f>+AK15+AM15</f>
        <v>812254</v>
      </c>
    </row>
    <row r="16" spans="1:41" ht="6.75" customHeight="1">
      <c r="A16" s="57"/>
      <c r="B16" s="177"/>
      <c r="C16" s="57"/>
      <c r="D16" s="173"/>
      <c r="E16" s="57"/>
      <c r="F16" s="57"/>
      <c r="G16" s="57"/>
      <c r="H16" s="57"/>
      <c r="I16" s="57"/>
      <c r="J16" s="57"/>
      <c r="K16" s="57"/>
      <c r="M16" s="57"/>
      <c r="N16" s="173"/>
      <c r="O16" s="57"/>
      <c r="P16" s="57"/>
      <c r="Q16" s="57"/>
      <c r="R16" s="57"/>
      <c r="S16" s="57"/>
      <c r="T16" s="57"/>
      <c r="U16" s="57"/>
      <c r="W16" s="57"/>
      <c r="X16" s="173"/>
      <c r="Y16" s="57"/>
      <c r="Z16" s="57"/>
      <c r="AA16" s="57"/>
      <c r="AB16" s="57"/>
      <c r="AC16" s="57"/>
      <c r="AD16" s="57"/>
      <c r="AE16" s="57"/>
      <c r="AG16" s="57"/>
      <c r="AH16" s="173"/>
      <c r="AI16" s="57"/>
      <c r="AJ16" s="57"/>
      <c r="AK16" s="57"/>
      <c r="AL16" s="57"/>
      <c r="AM16" s="57"/>
      <c r="AN16" s="57"/>
      <c r="AO16" s="57"/>
    </row>
    <row r="17" spans="1:41" ht="13.5">
      <c r="A17" s="57" t="s">
        <v>406</v>
      </c>
      <c r="B17" s="177"/>
      <c r="C17" s="154">
        <v>596133</v>
      </c>
      <c r="D17" s="158"/>
      <c r="E17" s="154">
        <v>273600</v>
      </c>
      <c r="F17" s="154"/>
      <c r="G17" s="154">
        <f>+C17+E17</f>
        <v>869733</v>
      </c>
      <c r="H17" s="154"/>
      <c r="I17" s="154">
        <v>14319</v>
      </c>
      <c r="J17" s="154"/>
      <c r="K17" s="154">
        <f>+G17+I17</f>
        <v>884052</v>
      </c>
      <c r="M17" s="154">
        <v>495273</v>
      </c>
      <c r="N17" s="158"/>
      <c r="O17" s="154">
        <v>196751</v>
      </c>
      <c r="P17" s="154"/>
      <c r="Q17" s="154">
        <f>+M17+O17</f>
        <v>692024</v>
      </c>
      <c r="R17" s="154"/>
      <c r="S17" s="154">
        <v>8319</v>
      </c>
      <c r="T17" s="154"/>
      <c r="U17" s="154">
        <f>+Q17+S17</f>
        <v>700343</v>
      </c>
      <c r="W17" s="154">
        <v>339923</v>
      </c>
      <c r="X17" s="158"/>
      <c r="Y17" s="154">
        <v>292407</v>
      </c>
      <c r="Z17" s="154"/>
      <c r="AA17" s="154">
        <f>+W17+Y17</f>
        <v>632330</v>
      </c>
      <c r="AB17" s="154"/>
      <c r="AC17" s="154">
        <v>8654</v>
      </c>
      <c r="AD17" s="154"/>
      <c r="AE17" s="154">
        <f>+AA17+AC17</f>
        <v>640984</v>
      </c>
      <c r="AG17" s="154">
        <v>269473</v>
      </c>
      <c r="AH17" s="158"/>
      <c r="AI17" s="154">
        <v>266860</v>
      </c>
      <c r="AJ17" s="154"/>
      <c r="AK17" s="154">
        <f>+AG17+AI17</f>
        <v>536333</v>
      </c>
      <c r="AL17" s="154"/>
      <c r="AM17" s="154">
        <v>5821</v>
      </c>
      <c r="AN17" s="154"/>
      <c r="AO17" s="154">
        <f>+AK17+AM17</f>
        <v>542154</v>
      </c>
    </row>
    <row r="18" spans="1:41" ht="13.5">
      <c r="A18" s="57" t="s">
        <v>395</v>
      </c>
      <c r="B18" s="177"/>
      <c r="C18" s="156">
        <v>8204</v>
      </c>
      <c r="D18" s="174"/>
      <c r="E18" s="156">
        <v>-2156</v>
      </c>
      <c r="F18" s="156"/>
      <c r="G18" s="156">
        <f>+C18+E18</f>
        <v>6048</v>
      </c>
      <c r="H18" s="156"/>
      <c r="I18" s="156">
        <v>11080</v>
      </c>
      <c r="J18" s="156"/>
      <c r="K18" s="156">
        <f>+G18+I18</f>
        <v>17128</v>
      </c>
      <c r="L18" s="33"/>
      <c r="M18" s="156">
        <v>7116</v>
      </c>
      <c r="N18" s="174"/>
      <c r="O18" s="156">
        <v>-5175</v>
      </c>
      <c r="P18" s="156"/>
      <c r="Q18" s="156">
        <f>+M18+O18</f>
        <v>1941</v>
      </c>
      <c r="R18" s="156"/>
      <c r="S18" s="156">
        <v>-5937</v>
      </c>
      <c r="T18" s="156"/>
      <c r="U18" s="156">
        <f>+Q18+S18</f>
        <v>-3996</v>
      </c>
      <c r="W18" s="156">
        <v>413</v>
      </c>
      <c r="X18" s="174"/>
      <c r="Y18" s="156">
        <v>714</v>
      </c>
      <c r="Z18" s="156"/>
      <c r="AA18" s="156">
        <f>+W18+Y18</f>
        <v>1127</v>
      </c>
      <c r="AB18" s="156"/>
      <c r="AC18" s="156">
        <v>950</v>
      </c>
      <c r="AD18" s="156"/>
      <c r="AE18" s="156">
        <f>+AA18+AC18</f>
        <v>2077</v>
      </c>
      <c r="AG18" s="156">
        <v>2625</v>
      </c>
      <c r="AH18" s="174"/>
      <c r="AI18" s="156">
        <v>-563</v>
      </c>
      <c r="AJ18" s="156"/>
      <c r="AK18" s="156">
        <f>+AG18+AI18</f>
        <v>2062</v>
      </c>
      <c r="AL18" s="156"/>
      <c r="AM18" s="156">
        <v>976</v>
      </c>
      <c r="AN18" s="156"/>
      <c r="AO18" s="156">
        <f>+AK18+AM18</f>
        <v>3038</v>
      </c>
    </row>
    <row r="19" spans="1:41" ht="6.75" customHeight="1">
      <c r="A19" s="57"/>
      <c r="B19" s="177"/>
      <c r="C19" s="156"/>
      <c r="D19" s="174"/>
      <c r="E19" s="156"/>
      <c r="F19" s="156"/>
      <c r="G19" s="156"/>
      <c r="H19" s="156"/>
      <c r="I19" s="156"/>
      <c r="J19" s="156"/>
      <c r="K19" s="156"/>
      <c r="M19" s="156"/>
      <c r="N19" s="174"/>
      <c r="O19" s="156"/>
      <c r="P19" s="156"/>
      <c r="Q19" s="156"/>
      <c r="R19" s="156"/>
      <c r="S19" s="156"/>
      <c r="T19" s="156"/>
      <c r="U19" s="156"/>
      <c r="W19" s="156"/>
      <c r="X19" s="174"/>
      <c r="Y19" s="156"/>
      <c r="Z19" s="156"/>
      <c r="AA19" s="156"/>
      <c r="AB19" s="156"/>
      <c r="AC19" s="156"/>
      <c r="AD19" s="156"/>
      <c r="AE19" s="156"/>
      <c r="AG19" s="156"/>
      <c r="AH19" s="174"/>
      <c r="AI19" s="156"/>
      <c r="AJ19" s="156"/>
      <c r="AK19" s="156"/>
      <c r="AL19" s="156"/>
      <c r="AM19" s="156"/>
      <c r="AN19" s="156"/>
      <c r="AO19" s="156"/>
    </row>
    <row r="20" spans="1:41" ht="13.5">
      <c r="A20" s="57" t="s">
        <v>396</v>
      </c>
      <c r="B20" s="177"/>
      <c r="C20" s="156">
        <v>390519</v>
      </c>
      <c r="D20" s="174"/>
      <c r="E20" s="156">
        <v>433923</v>
      </c>
      <c r="F20" s="156"/>
      <c r="G20" s="156">
        <f>+C20+E20</f>
        <v>824442</v>
      </c>
      <c r="H20" s="156"/>
      <c r="I20" s="156">
        <v>9742</v>
      </c>
      <c r="J20" s="156"/>
      <c r="K20" s="156">
        <f>+G20+I20</f>
        <v>834184</v>
      </c>
      <c r="M20" s="156">
        <v>709056</v>
      </c>
      <c r="N20" s="174"/>
      <c r="O20" s="156">
        <v>643052</v>
      </c>
      <c r="P20" s="156"/>
      <c r="Q20" s="156">
        <f>+M20+O20</f>
        <v>1352108</v>
      </c>
      <c r="R20" s="156"/>
      <c r="S20" s="156">
        <v>1784</v>
      </c>
      <c r="T20" s="156"/>
      <c r="U20" s="156">
        <f>+Q20+S20</f>
        <v>1353892</v>
      </c>
      <c r="W20" s="156">
        <v>201598</v>
      </c>
      <c r="X20" s="174"/>
      <c r="Y20" s="156">
        <v>183339</v>
      </c>
      <c r="Z20" s="156"/>
      <c r="AA20" s="156">
        <f>+W20+Y20</f>
        <v>384937</v>
      </c>
      <c r="AB20" s="156"/>
      <c r="AC20" s="156">
        <v>2014</v>
      </c>
      <c r="AD20" s="156"/>
      <c r="AE20" s="156">
        <f>+AA20+AC20</f>
        <v>386951</v>
      </c>
      <c r="AG20" s="156">
        <v>160131</v>
      </c>
      <c r="AH20" s="174"/>
      <c r="AI20" s="156">
        <v>168458</v>
      </c>
      <c r="AJ20" s="156"/>
      <c r="AK20" s="156">
        <f>+AG20+AI20</f>
        <v>328589</v>
      </c>
      <c r="AL20" s="156"/>
      <c r="AM20" s="156">
        <v>1615</v>
      </c>
      <c r="AN20" s="156"/>
      <c r="AO20" s="156">
        <f>+AK20+AM20</f>
        <v>330204</v>
      </c>
    </row>
    <row r="21" spans="1:41" ht="13.5">
      <c r="A21" s="57" t="s">
        <v>397</v>
      </c>
      <c r="B21" s="177"/>
      <c r="C21" s="156">
        <v>128709</v>
      </c>
      <c r="D21" s="174"/>
      <c r="E21" s="156">
        <v>73798</v>
      </c>
      <c r="F21" s="156"/>
      <c r="G21" s="156">
        <f>+C21+E21</f>
        <v>202507</v>
      </c>
      <c r="H21" s="156"/>
      <c r="I21" s="156">
        <v>1274</v>
      </c>
      <c r="J21" s="156"/>
      <c r="K21" s="156">
        <f>+G21+I21</f>
        <v>203781</v>
      </c>
      <c r="M21" s="156">
        <v>92668</v>
      </c>
      <c r="N21" s="174"/>
      <c r="O21" s="156">
        <v>72545</v>
      </c>
      <c r="P21" s="156"/>
      <c r="Q21" s="156">
        <f>+M21+O21</f>
        <v>165213</v>
      </c>
      <c r="R21" s="156"/>
      <c r="S21" s="156">
        <v>978</v>
      </c>
      <c r="T21" s="156"/>
      <c r="U21" s="156">
        <f>+Q21+S21</f>
        <v>166191</v>
      </c>
      <c r="W21" s="156">
        <v>65919</v>
      </c>
      <c r="X21" s="174"/>
      <c r="Y21" s="156">
        <v>76126</v>
      </c>
      <c r="Z21" s="156"/>
      <c r="AA21" s="156">
        <f>+W21+Y21</f>
        <v>142045</v>
      </c>
      <c r="AB21" s="156"/>
      <c r="AC21" s="156">
        <v>1157</v>
      </c>
      <c r="AD21" s="156"/>
      <c r="AE21" s="156">
        <f>+AA21+AC21</f>
        <v>143202</v>
      </c>
      <c r="AG21" s="156">
        <v>55951</v>
      </c>
      <c r="AH21" s="174"/>
      <c r="AI21" s="156">
        <v>69600</v>
      </c>
      <c r="AJ21" s="156"/>
      <c r="AK21" s="156">
        <f>+AG21+AI21</f>
        <v>125551</v>
      </c>
      <c r="AL21" s="156"/>
      <c r="AM21" s="156">
        <v>321</v>
      </c>
      <c r="AN21" s="156"/>
      <c r="AO21" s="156">
        <f>+AK21+AM21</f>
        <v>125872</v>
      </c>
    </row>
    <row r="22" spans="1:41" ht="13.5">
      <c r="A22" s="57" t="s">
        <v>398</v>
      </c>
      <c r="B22" s="177"/>
      <c r="C22" s="156">
        <v>58116</v>
      </c>
      <c r="D22" s="174"/>
      <c r="E22" s="156">
        <v>26316</v>
      </c>
      <c r="F22" s="156"/>
      <c r="G22" s="156">
        <f>+C22+E22</f>
        <v>84432</v>
      </c>
      <c r="H22" s="156"/>
      <c r="I22" s="156">
        <v>13371</v>
      </c>
      <c r="J22" s="156"/>
      <c r="K22" s="156">
        <f>+G22+I22</f>
        <v>97803</v>
      </c>
      <c r="M22" s="156">
        <v>76277</v>
      </c>
      <c r="N22" s="174"/>
      <c r="O22" s="156">
        <v>21078</v>
      </c>
      <c r="P22" s="156"/>
      <c r="Q22" s="156">
        <f>+M22+O22</f>
        <v>97355</v>
      </c>
      <c r="R22" s="156"/>
      <c r="S22" s="156">
        <v>10813</v>
      </c>
      <c r="T22" s="156"/>
      <c r="U22" s="156">
        <f>+Q22+S22</f>
        <v>108168</v>
      </c>
      <c r="W22" s="156">
        <v>33565</v>
      </c>
      <c r="X22" s="174"/>
      <c r="Y22" s="156">
        <v>23069</v>
      </c>
      <c r="Z22" s="156"/>
      <c r="AA22" s="156">
        <f>+W22+Y22</f>
        <v>56634</v>
      </c>
      <c r="AB22" s="156"/>
      <c r="AC22" s="156">
        <v>6863</v>
      </c>
      <c r="AD22" s="156"/>
      <c r="AE22" s="156">
        <f>+AA22+AC22</f>
        <v>63497</v>
      </c>
      <c r="AG22" s="156">
        <v>32787</v>
      </c>
      <c r="AH22" s="174"/>
      <c r="AI22" s="156">
        <v>16706</v>
      </c>
      <c r="AJ22" s="156"/>
      <c r="AK22" s="156">
        <f>+AG22+AI22</f>
        <v>49493</v>
      </c>
      <c r="AL22" s="156"/>
      <c r="AM22" s="156">
        <v>11357</v>
      </c>
      <c r="AN22" s="156"/>
      <c r="AO22" s="156">
        <f>+AK22+AM22</f>
        <v>60850</v>
      </c>
    </row>
    <row r="23" spans="1:41" ht="13.5">
      <c r="A23" s="57" t="s">
        <v>469</v>
      </c>
      <c r="B23" s="177"/>
      <c r="C23" s="180">
        <v>861</v>
      </c>
      <c r="D23" s="175"/>
      <c r="E23" s="156">
        <v>-2312</v>
      </c>
      <c r="F23" s="57"/>
      <c r="G23" s="156">
        <f>+C23+E23</f>
        <v>-1451</v>
      </c>
      <c r="H23" s="156"/>
      <c r="I23" s="156">
        <v>0</v>
      </c>
      <c r="J23" s="154"/>
      <c r="K23" s="156">
        <f>+G23+I23</f>
        <v>-1451</v>
      </c>
      <c r="M23" s="180">
        <v>5860</v>
      </c>
      <c r="N23" s="175"/>
      <c r="O23" s="156">
        <v>1337</v>
      </c>
      <c r="P23" s="57"/>
      <c r="Q23" s="156">
        <f>+M23+O23</f>
        <v>7197</v>
      </c>
      <c r="R23" s="156"/>
      <c r="S23" s="156">
        <v>0</v>
      </c>
      <c r="T23" s="154"/>
      <c r="U23" s="156">
        <f>+Q23+S23</f>
        <v>7197</v>
      </c>
      <c r="W23" s="180">
        <v>-22181</v>
      </c>
      <c r="X23" s="175"/>
      <c r="Y23" s="156">
        <v>4825</v>
      </c>
      <c r="Z23" s="57"/>
      <c r="AA23" s="156">
        <f>+W23+Y23</f>
        <v>-17356</v>
      </c>
      <c r="AB23" s="156"/>
      <c r="AC23" s="156">
        <v>0</v>
      </c>
      <c r="AD23" s="154"/>
      <c r="AE23" s="156">
        <f>+AA23+AC23</f>
        <v>-17356</v>
      </c>
      <c r="AG23" s="180">
        <v>-1382</v>
      </c>
      <c r="AH23" s="175"/>
      <c r="AI23" s="156">
        <v>212</v>
      </c>
      <c r="AJ23" s="57"/>
      <c r="AK23" s="156">
        <f>+AG23+AI23</f>
        <v>-1170</v>
      </c>
      <c r="AL23" s="156"/>
      <c r="AM23" s="156">
        <v>0</v>
      </c>
      <c r="AN23" s="154"/>
      <c r="AO23" s="156">
        <f>+AK23+AM23</f>
        <v>-1170</v>
      </c>
    </row>
    <row r="24" spans="1:41" ht="13.5">
      <c r="A24" s="57"/>
      <c r="B24" s="177"/>
      <c r="C24" s="57"/>
      <c r="D24" s="173"/>
      <c r="E24" s="57"/>
      <c r="F24" s="57"/>
      <c r="G24" s="57"/>
      <c r="H24" s="156"/>
      <c r="I24" s="57"/>
      <c r="J24" s="154"/>
      <c r="K24" s="57"/>
      <c r="M24" s="57"/>
      <c r="N24" s="173"/>
      <c r="O24" s="57"/>
      <c r="P24" s="57"/>
      <c r="Q24" s="57"/>
      <c r="R24" s="156"/>
      <c r="S24" s="57"/>
      <c r="T24" s="154"/>
      <c r="U24" s="57"/>
      <c r="W24" s="57"/>
      <c r="X24" s="173"/>
      <c r="Y24" s="57"/>
      <c r="Z24" s="57"/>
      <c r="AA24" s="57"/>
      <c r="AB24" s="156"/>
      <c r="AC24" s="57"/>
      <c r="AD24" s="154"/>
      <c r="AE24" s="57"/>
      <c r="AG24" s="57"/>
      <c r="AH24" s="173"/>
      <c r="AI24" s="57"/>
      <c r="AJ24" s="57"/>
      <c r="AK24" s="57"/>
      <c r="AL24" s="156"/>
      <c r="AM24" s="57"/>
      <c r="AN24" s="154"/>
      <c r="AO24" s="57"/>
    </row>
    <row r="25" spans="1:41" ht="13.5">
      <c r="A25" s="57" t="s">
        <v>342</v>
      </c>
      <c r="B25" s="177"/>
      <c r="C25" s="157">
        <f>+C17+C18-C20-C21-C22-C23</f>
        <v>26132</v>
      </c>
      <c r="D25" s="158"/>
      <c r="E25" s="157">
        <f>+E17+E18-E20-E21-E22-E23</f>
        <v>-260281</v>
      </c>
      <c r="F25" s="57"/>
      <c r="G25" s="157">
        <f>+G17+G18-G20-G21-G22-G23</f>
        <v>-234149</v>
      </c>
      <c r="H25" s="156"/>
      <c r="I25" s="157">
        <f>+I17+I18-I20-I21-I22-I23</f>
        <v>1012</v>
      </c>
      <c r="J25" s="154"/>
      <c r="K25" s="157">
        <f>+K17+K18-K20-K21-K22-K23</f>
        <v>-233137</v>
      </c>
      <c r="M25" s="157">
        <f>+M17+M18-M20-M21-M22-M23</f>
        <v>-381472</v>
      </c>
      <c r="N25" s="158"/>
      <c r="O25" s="157">
        <f>+O17+O18-O20-O21-O22-O23</f>
        <v>-546436</v>
      </c>
      <c r="P25" s="57"/>
      <c r="Q25" s="157">
        <f>+Q17+Q18-Q20-Q21-Q22-Q23</f>
        <v>-927908</v>
      </c>
      <c r="R25" s="156"/>
      <c r="S25" s="157">
        <f>+S17+S18-S20-S21-S22-S23</f>
        <v>-11193</v>
      </c>
      <c r="T25" s="154"/>
      <c r="U25" s="157">
        <f>+U17+U18-U20-U21-U22-U23</f>
        <v>-939101</v>
      </c>
      <c r="W25" s="157">
        <f>+W17+W18-W20-W21-W22-W23</f>
        <v>61435</v>
      </c>
      <c r="X25" s="158"/>
      <c r="Y25" s="157">
        <f>+Y17+Y18-Y20-Y21-Y22-Y23</f>
        <v>5762</v>
      </c>
      <c r="Z25" s="57"/>
      <c r="AA25" s="157">
        <f>+AA17+AA18-AA20-AA21-AA22-AA23</f>
        <v>67197</v>
      </c>
      <c r="AB25" s="156"/>
      <c r="AC25" s="157">
        <f>+AC17+AC18-AC20-AC21-AC22-AC23</f>
        <v>-430</v>
      </c>
      <c r="AD25" s="154"/>
      <c r="AE25" s="157">
        <f>+AE17+AE18-AE20-AE21-AE22-AE23</f>
        <v>66767</v>
      </c>
      <c r="AG25" s="157">
        <f>+AG17+AG18-AG20-AG21-AG22-AG23</f>
        <v>24611</v>
      </c>
      <c r="AH25" s="158"/>
      <c r="AI25" s="157">
        <f>+AI17+AI18-AI20-AI21-AI22-AI23</f>
        <v>11321</v>
      </c>
      <c r="AJ25" s="57"/>
      <c r="AK25" s="157">
        <f>+AK17+AK18-AK20-AK21-AK22-AK23</f>
        <v>35932</v>
      </c>
      <c r="AL25" s="156"/>
      <c r="AM25" s="157">
        <f>+AM17+AM18-AM20-AM21-AM22-AM23</f>
        <v>-6496</v>
      </c>
      <c r="AN25" s="154"/>
      <c r="AO25" s="157">
        <f>+AO17+AO18-AO20-AO21-AO22-AO23</f>
        <v>29436</v>
      </c>
    </row>
    <row r="26" spans="3:41" ht="13.5">
      <c r="C26" s="57"/>
      <c r="D26" s="173"/>
      <c r="E26" s="57"/>
      <c r="F26" s="57"/>
      <c r="G26" s="57"/>
      <c r="H26" s="156"/>
      <c r="I26" s="57"/>
      <c r="J26" s="154"/>
      <c r="K26" s="57"/>
      <c r="M26" s="57"/>
      <c r="N26" s="173"/>
      <c r="O26" s="57"/>
      <c r="P26" s="57"/>
      <c r="Q26" s="57"/>
      <c r="R26" s="156"/>
      <c r="S26" s="57"/>
      <c r="T26" s="154"/>
      <c r="U26" s="57"/>
      <c r="W26" s="57"/>
      <c r="X26" s="173"/>
      <c r="Y26" s="57"/>
      <c r="Z26" s="57"/>
      <c r="AA26" s="57"/>
      <c r="AB26" s="156"/>
      <c r="AC26" s="57"/>
      <c r="AD26" s="154"/>
      <c r="AE26" s="57"/>
      <c r="AG26" s="57"/>
      <c r="AH26" s="173"/>
      <c r="AI26" s="57"/>
      <c r="AJ26" s="57"/>
      <c r="AK26" s="57"/>
      <c r="AL26" s="156"/>
      <c r="AM26" s="57"/>
      <c r="AN26" s="154"/>
      <c r="AO26" s="57"/>
    </row>
    <row r="27" spans="1:41" s="57" customFormat="1" ht="12">
      <c r="A27" s="57" t="s">
        <v>2</v>
      </c>
      <c r="B27" s="178"/>
      <c r="D27" s="173"/>
      <c r="J27" s="154"/>
      <c r="K27" s="156">
        <v>-10027</v>
      </c>
      <c r="N27" s="173"/>
      <c r="T27" s="154"/>
      <c r="U27" s="156">
        <v>5686</v>
      </c>
      <c r="X27" s="173"/>
      <c r="AD27" s="154"/>
      <c r="AE27" s="156">
        <v>14442</v>
      </c>
      <c r="AH27" s="173"/>
      <c r="AN27" s="154"/>
      <c r="AO27" s="156">
        <v>1667</v>
      </c>
    </row>
    <row r="28" spans="3:41" ht="13.5">
      <c r="C28" s="57"/>
      <c r="D28" s="173"/>
      <c r="E28" s="57"/>
      <c r="F28" s="57"/>
      <c r="G28" s="57"/>
      <c r="H28" s="57"/>
      <c r="I28" s="57"/>
      <c r="J28" s="154"/>
      <c r="K28" s="179"/>
      <c r="M28" s="57"/>
      <c r="N28" s="173"/>
      <c r="O28" s="57"/>
      <c r="P28" s="57"/>
      <c r="Q28" s="57"/>
      <c r="R28" s="57"/>
      <c r="S28" s="57"/>
      <c r="T28" s="154"/>
      <c r="U28" s="179"/>
      <c r="W28" s="57"/>
      <c r="X28" s="173"/>
      <c r="Y28" s="57"/>
      <c r="Z28" s="57"/>
      <c r="AA28" s="57"/>
      <c r="AB28" s="57"/>
      <c r="AC28" s="57"/>
      <c r="AD28" s="154"/>
      <c r="AE28" s="179"/>
      <c r="AG28" s="57"/>
      <c r="AH28" s="173"/>
      <c r="AI28" s="57"/>
      <c r="AJ28" s="57"/>
      <c r="AK28" s="57"/>
      <c r="AL28" s="57"/>
      <c r="AM28" s="57"/>
      <c r="AN28" s="154"/>
      <c r="AO28" s="179"/>
    </row>
    <row r="29" spans="1:41" ht="13.5">
      <c r="A29" s="152" t="s">
        <v>584</v>
      </c>
      <c r="C29" s="57"/>
      <c r="D29" s="173"/>
      <c r="E29" s="57"/>
      <c r="F29" s="57"/>
      <c r="G29" s="57"/>
      <c r="H29" s="57"/>
      <c r="I29" s="57"/>
      <c r="J29" s="154"/>
      <c r="K29" s="179"/>
      <c r="M29" s="57"/>
      <c r="N29" s="173"/>
      <c r="O29" s="57"/>
      <c r="P29" s="57"/>
      <c r="Q29" s="57"/>
      <c r="R29" s="57"/>
      <c r="S29" s="57"/>
      <c r="T29" s="154"/>
      <c r="U29" s="179"/>
      <c r="W29" s="57"/>
      <c r="X29" s="173"/>
      <c r="Y29" s="57"/>
      <c r="Z29" s="57"/>
      <c r="AA29" s="57"/>
      <c r="AB29" s="57"/>
      <c r="AC29" s="57"/>
      <c r="AD29" s="154"/>
      <c r="AE29" s="179"/>
      <c r="AG29" s="57"/>
      <c r="AH29" s="173"/>
      <c r="AI29" s="57"/>
      <c r="AJ29" s="57"/>
      <c r="AK29" s="57"/>
      <c r="AL29" s="57"/>
      <c r="AM29" s="57"/>
      <c r="AN29" s="154"/>
      <c r="AO29" s="179"/>
    </row>
    <row r="30" spans="1:41" ht="13.5">
      <c r="A30" s="57" t="s">
        <v>343</v>
      </c>
      <c r="C30" s="181">
        <f>+C20/C17</f>
        <v>0.6550870359466763</v>
      </c>
      <c r="D30" s="172"/>
      <c r="E30" s="181">
        <f>+E20/E17</f>
        <v>1.5859758771929824</v>
      </c>
      <c r="F30" s="57"/>
      <c r="G30" s="181">
        <f>+G20/G17</f>
        <v>0.9479253977944956</v>
      </c>
      <c r="H30" s="181"/>
      <c r="I30" s="57"/>
      <c r="J30" s="154"/>
      <c r="K30" s="57"/>
      <c r="M30" s="181">
        <f>+M20/M17</f>
        <v>1.4316467887407551</v>
      </c>
      <c r="N30" s="172"/>
      <c r="O30" s="181">
        <f>+O20/O17</f>
        <v>3.2683544175124903</v>
      </c>
      <c r="P30" s="57"/>
      <c r="Q30" s="181">
        <f>+Q20/Q17</f>
        <v>1.9538455313688543</v>
      </c>
      <c r="R30" s="181"/>
      <c r="S30" s="57"/>
      <c r="T30" s="154"/>
      <c r="U30" s="57"/>
      <c r="W30" s="181">
        <f>+W20/W17</f>
        <v>0.5930696069403953</v>
      </c>
      <c r="X30" s="172"/>
      <c r="Y30" s="181">
        <f>+Y20/Y17</f>
        <v>0.6269993536406447</v>
      </c>
      <c r="Z30" s="57"/>
      <c r="AA30" s="181">
        <f>+AA20/AA17</f>
        <v>0.6087596666297661</v>
      </c>
      <c r="AB30" s="181"/>
      <c r="AC30" s="57"/>
      <c r="AD30" s="154"/>
      <c r="AE30" s="57"/>
      <c r="AG30" s="181">
        <f>+AG20/AG17</f>
        <v>0.5942376416190119</v>
      </c>
      <c r="AH30" s="172"/>
      <c r="AI30" s="181">
        <f>+AI20/AI17</f>
        <v>0.6312598366184516</v>
      </c>
      <c r="AJ30" s="57"/>
      <c r="AK30" s="181">
        <f>+AK20/AK17</f>
        <v>0.6126585535478891</v>
      </c>
      <c r="AL30" s="181"/>
      <c r="AM30" s="57"/>
      <c r="AN30" s="154"/>
      <c r="AO30" s="57"/>
    </row>
    <row r="31" spans="1:41" ht="13.5">
      <c r="A31" s="57" t="s">
        <v>483</v>
      </c>
      <c r="C31" s="181">
        <f>+(C22+C21)/C17</f>
        <v>0.31339482967727</v>
      </c>
      <c r="D31" s="172"/>
      <c r="E31" s="181">
        <f>+(E22+E21)/E17</f>
        <v>0.3659137426900585</v>
      </c>
      <c r="F31" s="57"/>
      <c r="G31" s="181">
        <f>+(G22+G21)/G17</f>
        <v>0.3299161926706242</v>
      </c>
      <c r="H31" s="181"/>
      <c r="I31" s="57"/>
      <c r="J31" s="154"/>
      <c r="K31" s="57"/>
      <c r="M31" s="181">
        <f>+(M22+M21)/M17</f>
        <v>0.3411149002671254</v>
      </c>
      <c r="N31" s="172"/>
      <c r="O31" s="181">
        <f>+(O22+O21)/O17</f>
        <v>0.4758451037097651</v>
      </c>
      <c r="P31" s="57"/>
      <c r="Q31" s="181">
        <f>+(Q22+Q21)/Q17</f>
        <v>0.3794203669236905</v>
      </c>
      <c r="R31" s="181"/>
      <c r="S31" s="57"/>
      <c r="T31" s="154"/>
      <c r="U31" s="57"/>
      <c r="W31" s="181">
        <f>+(W22+W21)/W17</f>
        <v>0.29266628030465724</v>
      </c>
      <c r="X31" s="172"/>
      <c r="Y31" s="181">
        <f>+(Y22+Y21)/Y17</f>
        <v>0.3392360648000903</v>
      </c>
      <c r="Z31" s="57"/>
      <c r="AA31" s="181">
        <f>+(AA22+AA21)/AA17</f>
        <v>0.31420144544778833</v>
      </c>
      <c r="AB31" s="181"/>
      <c r="AC31" s="57"/>
      <c r="AD31" s="154"/>
      <c r="AE31" s="57"/>
      <c r="AG31" s="181">
        <f>+(AG22+AG21)/AG17</f>
        <v>0.32930200799337966</v>
      </c>
      <c r="AH31" s="172"/>
      <c r="AI31" s="181">
        <f>+(AI22+AI21)/AI17</f>
        <v>0.32341302555647156</v>
      </c>
      <c r="AJ31" s="57"/>
      <c r="AK31" s="181">
        <f>+(AK22+AK21)/AK17</f>
        <v>0.32637186225721704</v>
      </c>
      <c r="AL31" s="181"/>
      <c r="AM31" s="57"/>
      <c r="AN31" s="154"/>
      <c r="AO31" s="57"/>
    </row>
    <row r="32" spans="1:41" ht="14.25" thickBot="1">
      <c r="A32" s="57" t="s">
        <v>346</v>
      </c>
      <c r="C32" s="182">
        <f>+C30+C31</f>
        <v>0.9684818656239462</v>
      </c>
      <c r="D32" s="172"/>
      <c r="E32" s="182">
        <f>+E30+E31</f>
        <v>1.9518896198830409</v>
      </c>
      <c r="F32" s="57"/>
      <c r="G32" s="182">
        <f>+G30+G31</f>
        <v>1.27784159046512</v>
      </c>
      <c r="H32" s="172"/>
      <c r="I32" s="57"/>
      <c r="J32" s="154"/>
      <c r="K32" s="57"/>
      <c r="M32" s="182">
        <f>+M30+M31</f>
        <v>1.7727616890078806</v>
      </c>
      <c r="N32" s="172"/>
      <c r="O32" s="182">
        <f>+O30+O31</f>
        <v>3.7441995212222556</v>
      </c>
      <c r="P32" s="57"/>
      <c r="Q32" s="182">
        <f>+Q30+Q31</f>
        <v>2.3332658982925447</v>
      </c>
      <c r="R32" s="172"/>
      <c r="S32" s="57"/>
      <c r="T32" s="154"/>
      <c r="U32" s="57"/>
      <c r="W32" s="182">
        <f>+W30+W31</f>
        <v>0.8857358872450526</v>
      </c>
      <c r="X32" s="172"/>
      <c r="Y32" s="182">
        <f>+Y30+Y31</f>
        <v>0.966235418440735</v>
      </c>
      <c r="Z32" s="57"/>
      <c r="AA32" s="182">
        <f>+AA30+AA31</f>
        <v>0.9229611120775545</v>
      </c>
      <c r="AB32" s="172"/>
      <c r="AC32" s="57"/>
      <c r="AD32" s="154"/>
      <c r="AE32" s="57"/>
      <c r="AG32" s="182">
        <f>+AG30+AG31</f>
        <v>0.9235396496123915</v>
      </c>
      <c r="AH32" s="172"/>
      <c r="AI32" s="182">
        <f>+AI30+AI31</f>
        <v>0.9546728621749232</v>
      </c>
      <c r="AJ32" s="57"/>
      <c r="AK32" s="182">
        <f>+AK30+AK31</f>
        <v>0.9390304158051062</v>
      </c>
      <c r="AL32" s="172"/>
      <c r="AM32" s="57"/>
      <c r="AN32" s="154"/>
      <c r="AO32" s="57"/>
    </row>
    <row r="33" spans="1:41" ht="14.25" thickTop="1">
      <c r="A33" s="57"/>
      <c r="C33" s="172"/>
      <c r="D33" s="172"/>
      <c r="E33" s="172"/>
      <c r="F33" s="57"/>
      <c r="G33" s="172"/>
      <c r="H33" s="172"/>
      <c r="I33" s="57"/>
      <c r="J33" s="154"/>
      <c r="K33" s="57"/>
      <c r="M33" s="172"/>
      <c r="N33" s="172"/>
      <c r="O33" s="172"/>
      <c r="P33" s="57"/>
      <c r="Q33" s="172"/>
      <c r="R33" s="172"/>
      <c r="S33" s="57"/>
      <c r="T33" s="154"/>
      <c r="U33" s="57"/>
      <c r="W33" s="172"/>
      <c r="X33" s="172"/>
      <c r="Y33" s="172"/>
      <c r="Z33" s="57"/>
      <c r="AA33" s="172"/>
      <c r="AB33" s="172"/>
      <c r="AC33" s="57"/>
      <c r="AD33" s="154"/>
      <c r="AE33" s="57"/>
      <c r="AG33" s="172"/>
      <c r="AH33" s="172"/>
      <c r="AI33" s="172"/>
      <c r="AJ33" s="57"/>
      <c r="AK33" s="172"/>
      <c r="AL33" s="172"/>
      <c r="AM33" s="57"/>
      <c r="AN33" s="154"/>
      <c r="AO33" s="57"/>
    </row>
    <row r="34" spans="1:41" ht="13.5">
      <c r="A34" s="57"/>
      <c r="C34" s="172"/>
      <c r="D34" s="172"/>
      <c r="E34" s="172"/>
      <c r="F34" s="57"/>
      <c r="G34" s="172"/>
      <c r="H34" s="172"/>
      <c r="I34" s="57"/>
      <c r="J34" s="154"/>
      <c r="K34" s="57"/>
      <c r="M34" s="172"/>
      <c r="N34" s="172"/>
      <c r="O34" s="172"/>
      <c r="P34" s="57"/>
      <c r="Q34" s="172"/>
      <c r="R34" s="172"/>
      <c r="S34" s="57"/>
      <c r="T34" s="154"/>
      <c r="U34" s="57"/>
      <c r="W34" s="172"/>
      <c r="X34" s="172"/>
      <c r="Y34" s="172"/>
      <c r="Z34" s="57"/>
      <c r="AA34" s="172"/>
      <c r="AB34" s="172"/>
      <c r="AC34" s="57"/>
      <c r="AD34" s="154"/>
      <c r="AE34" s="57"/>
      <c r="AG34" s="172"/>
      <c r="AH34" s="172"/>
      <c r="AI34" s="172"/>
      <c r="AJ34" s="57"/>
      <c r="AK34" s="172"/>
      <c r="AL34" s="172"/>
      <c r="AM34" s="57"/>
      <c r="AN34" s="154"/>
      <c r="AO34" s="57"/>
    </row>
    <row r="35" spans="1:41" ht="13.5">
      <c r="A35" s="57"/>
      <c r="C35" s="172"/>
      <c r="D35" s="172"/>
      <c r="E35" s="172"/>
      <c r="F35" s="57"/>
      <c r="G35" s="172"/>
      <c r="H35" s="172"/>
      <c r="I35" s="57"/>
      <c r="J35" s="154"/>
      <c r="K35" s="57"/>
      <c r="M35" s="172"/>
      <c r="N35" s="172"/>
      <c r="O35" s="172"/>
      <c r="P35" s="57"/>
      <c r="Q35" s="172"/>
      <c r="R35" s="172"/>
      <c r="S35" s="57"/>
      <c r="T35" s="154"/>
      <c r="U35" s="57"/>
      <c r="W35" s="172"/>
      <c r="X35" s="172"/>
      <c r="Y35" s="172"/>
      <c r="Z35" s="57"/>
      <c r="AA35" s="172"/>
      <c r="AB35" s="172"/>
      <c r="AC35" s="57"/>
      <c r="AD35" s="154"/>
      <c r="AE35" s="57"/>
      <c r="AG35" s="172"/>
      <c r="AH35" s="172"/>
      <c r="AI35" s="172"/>
      <c r="AJ35" s="57"/>
      <c r="AK35" s="172"/>
      <c r="AL35" s="172"/>
      <c r="AM35" s="57"/>
      <c r="AN35" s="154"/>
      <c r="AO35" s="57"/>
    </row>
    <row r="36" spans="1:41" ht="13.5">
      <c r="A36" s="57"/>
      <c r="C36" s="172"/>
      <c r="D36" s="172"/>
      <c r="E36" s="172"/>
      <c r="F36" s="57"/>
      <c r="G36" s="172"/>
      <c r="H36" s="172"/>
      <c r="I36" s="57"/>
      <c r="J36" s="154"/>
      <c r="K36" s="57"/>
      <c r="M36" s="172"/>
      <c r="N36" s="172"/>
      <c r="O36" s="172"/>
      <c r="P36" s="57"/>
      <c r="Q36" s="172"/>
      <c r="R36" s="172"/>
      <c r="S36" s="57"/>
      <c r="T36" s="154"/>
      <c r="U36" s="57"/>
      <c r="W36" s="172"/>
      <c r="X36" s="172"/>
      <c r="Y36" s="172"/>
      <c r="Z36" s="57"/>
      <c r="AA36" s="172"/>
      <c r="AB36" s="172"/>
      <c r="AC36" s="57"/>
      <c r="AD36" s="154"/>
      <c r="AE36" s="57"/>
      <c r="AG36" s="172"/>
      <c r="AH36" s="172"/>
      <c r="AI36" s="172"/>
      <c r="AJ36" s="57"/>
      <c r="AK36" s="172"/>
      <c r="AL36" s="172"/>
      <c r="AM36" s="57"/>
      <c r="AN36" s="154"/>
      <c r="AO36" s="57"/>
    </row>
    <row r="37" spans="1:41" ht="13.5">
      <c r="A37" s="57"/>
      <c r="C37" s="172"/>
      <c r="D37" s="172"/>
      <c r="E37" s="172"/>
      <c r="F37" s="57"/>
      <c r="G37" s="172"/>
      <c r="H37" s="172"/>
      <c r="I37" s="57"/>
      <c r="J37" s="154"/>
      <c r="K37" s="57"/>
      <c r="M37" s="172"/>
      <c r="N37" s="172"/>
      <c r="O37" s="172"/>
      <c r="P37" s="57"/>
      <c r="Q37" s="172"/>
      <c r="R37" s="172"/>
      <c r="S37" s="57"/>
      <c r="T37" s="154"/>
      <c r="U37" s="57"/>
      <c r="W37" s="172"/>
      <c r="X37" s="172"/>
      <c r="Y37" s="172"/>
      <c r="Z37" s="57"/>
      <c r="AA37" s="172"/>
      <c r="AB37" s="172"/>
      <c r="AC37" s="57"/>
      <c r="AD37" s="154"/>
      <c r="AE37" s="57"/>
      <c r="AG37" s="172"/>
      <c r="AH37" s="172"/>
      <c r="AI37" s="172"/>
      <c r="AJ37" s="57"/>
      <c r="AK37" s="172"/>
      <c r="AL37" s="172"/>
      <c r="AM37" s="57"/>
      <c r="AN37" s="154"/>
      <c r="AO37" s="57"/>
    </row>
    <row r="43" spans="2:41" ht="15">
      <c r="B43" s="193"/>
      <c r="C43" s="339" t="s">
        <v>580</v>
      </c>
      <c r="D43" s="339"/>
      <c r="E43" s="339"/>
      <c r="F43" s="339"/>
      <c r="G43" s="339"/>
      <c r="H43" s="339"/>
      <c r="I43" s="339"/>
      <c r="J43" s="339"/>
      <c r="K43" s="339"/>
      <c r="M43" s="339" t="s">
        <v>583</v>
      </c>
      <c r="N43" s="339"/>
      <c r="O43" s="339"/>
      <c r="P43" s="339"/>
      <c r="Q43" s="339"/>
      <c r="R43" s="339"/>
      <c r="S43" s="339"/>
      <c r="T43" s="339"/>
      <c r="U43" s="339"/>
      <c r="W43" s="339" t="s">
        <v>582</v>
      </c>
      <c r="X43" s="339"/>
      <c r="Y43" s="339"/>
      <c r="Z43" s="339"/>
      <c r="AA43" s="339"/>
      <c r="AB43" s="339"/>
      <c r="AC43" s="339"/>
      <c r="AD43" s="339"/>
      <c r="AE43" s="339"/>
      <c r="AG43" s="339" t="s">
        <v>581</v>
      </c>
      <c r="AH43" s="339"/>
      <c r="AI43" s="339"/>
      <c r="AJ43" s="339"/>
      <c r="AK43" s="339"/>
      <c r="AL43" s="339"/>
      <c r="AM43" s="339"/>
      <c r="AN43" s="339"/>
      <c r="AO43" s="339"/>
    </row>
    <row r="44" spans="2:41" ht="13.5">
      <c r="B44" s="183"/>
      <c r="C44" s="36"/>
      <c r="D44" s="146"/>
      <c r="E44" s="36"/>
      <c r="F44" s="36"/>
      <c r="G44" s="13" t="s">
        <v>389</v>
      </c>
      <c r="H44" s="13"/>
      <c r="I44" s="13" t="s">
        <v>391</v>
      </c>
      <c r="J44" s="13"/>
      <c r="K44" s="36"/>
      <c r="M44" s="36"/>
      <c r="N44" s="146"/>
      <c r="O44" s="36"/>
      <c r="P44" s="36"/>
      <c r="Q44" s="13" t="s">
        <v>389</v>
      </c>
      <c r="R44" s="13"/>
      <c r="S44" s="13" t="s">
        <v>391</v>
      </c>
      <c r="T44" s="13"/>
      <c r="U44" s="36"/>
      <c r="W44" s="36"/>
      <c r="X44" s="146"/>
      <c r="Y44" s="36"/>
      <c r="Z44" s="36"/>
      <c r="AA44" s="13" t="s">
        <v>389</v>
      </c>
      <c r="AB44" s="13"/>
      <c r="AC44" s="13" t="s">
        <v>391</v>
      </c>
      <c r="AD44" s="13"/>
      <c r="AE44" s="36"/>
      <c r="AG44" s="36"/>
      <c r="AH44" s="146"/>
      <c r="AI44" s="36"/>
      <c r="AJ44" s="36"/>
      <c r="AK44" s="13" t="s">
        <v>389</v>
      </c>
      <c r="AL44" s="13"/>
      <c r="AM44" s="13" t="s">
        <v>391</v>
      </c>
      <c r="AN44" s="13"/>
      <c r="AO44" s="36"/>
    </row>
    <row r="45" spans="2:41" ht="13.5">
      <c r="B45" s="183"/>
      <c r="C45" s="36"/>
      <c r="D45" s="146"/>
      <c r="E45" s="36"/>
      <c r="F45" s="36"/>
      <c r="G45" s="13" t="s">
        <v>390</v>
      </c>
      <c r="H45" s="13"/>
      <c r="I45" s="13" t="s">
        <v>392</v>
      </c>
      <c r="J45" s="13"/>
      <c r="K45" s="36"/>
      <c r="M45" s="36"/>
      <c r="N45" s="146"/>
      <c r="O45" s="36"/>
      <c r="P45" s="36"/>
      <c r="Q45" s="13" t="s">
        <v>390</v>
      </c>
      <c r="R45" s="13"/>
      <c r="S45" s="13" t="s">
        <v>392</v>
      </c>
      <c r="T45" s="13"/>
      <c r="U45" s="36"/>
      <c r="W45" s="36"/>
      <c r="X45" s="146"/>
      <c r="Y45" s="36"/>
      <c r="Z45" s="36"/>
      <c r="AA45" s="13" t="s">
        <v>390</v>
      </c>
      <c r="AB45" s="13"/>
      <c r="AC45" s="13" t="s">
        <v>392</v>
      </c>
      <c r="AD45" s="13"/>
      <c r="AE45" s="36"/>
      <c r="AG45" s="36"/>
      <c r="AH45" s="146"/>
      <c r="AI45" s="36"/>
      <c r="AJ45" s="36"/>
      <c r="AK45" s="13" t="s">
        <v>390</v>
      </c>
      <c r="AL45" s="13"/>
      <c r="AM45" s="13" t="s">
        <v>392</v>
      </c>
      <c r="AN45" s="13"/>
      <c r="AO45" s="36"/>
    </row>
    <row r="46" spans="2:41" ht="13.5">
      <c r="B46" s="183"/>
      <c r="C46" s="13" t="s">
        <v>387</v>
      </c>
      <c r="D46" s="147"/>
      <c r="E46" s="13" t="s">
        <v>388</v>
      </c>
      <c r="F46" s="13"/>
      <c r="G46" s="13" t="s">
        <v>388</v>
      </c>
      <c r="H46" s="13"/>
      <c r="I46" s="13" t="s">
        <v>393</v>
      </c>
      <c r="J46" s="13"/>
      <c r="K46" s="13" t="s">
        <v>394</v>
      </c>
      <c r="M46" s="13" t="s">
        <v>387</v>
      </c>
      <c r="N46" s="147"/>
      <c r="O46" s="13" t="s">
        <v>388</v>
      </c>
      <c r="P46" s="13"/>
      <c r="Q46" s="13" t="s">
        <v>388</v>
      </c>
      <c r="R46" s="13"/>
      <c r="S46" s="13" t="s">
        <v>393</v>
      </c>
      <c r="T46" s="13"/>
      <c r="U46" s="13" t="s">
        <v>394</v>
      </c>
      <c r="W46" s="13" t="s">
        <v>387</v>
      </c>
      <c r="X46" s="147"/>
      <c r="Y46" s="13" t="s">
        <v>388</v>
      </c>
      <c r="Z46" s="13"/>
      <c r="AA46" s="13" t="s">
        <v>388</v>
      </c>
      <c r="AB46" s="13"/>
      <c r="AC46" s="13" t="s">
        <v>393</v>
      </c>
      <c r="AD46" s="13"/>
      <c r="AE46" s="13" t="s">
        <v>394</v>
      </c>
      <c r="AG46" s="13" t="s">
        <v>387</v>
      </c>
      <c r="AH46" s="147"/>
      <c r="AI46" s="13" t="s">
        <v>388</v>
      </c>
      <c r="AJ46" s="13"/>
      <c r="AK46" s="13" t="s">
        <v>388</v>
      </c>
      <c r="AL46" s="13"/>
      <c r="AM46" s="13" t="s">
        <v>393</v>
      </c>
      <c r="AN46" s="13"/>
      <c r="AO46" s="13" t="s">
        <v>394</v>
      </c>
    </row>
    <row r="47" ht="13.5">
      <c r="A47" s="14" t="s">
        <v>419</v>
      </c>
    </row>
    <row r="48" spans="1:41" ht="13.5">
      <c r="A48" s="57" t="s">
        <v>404</v>
      </c>
      <c r="B48" s="177"/>
      <c r="C48" s="154">
        <v>958137</v>
      </c>
      <c r="D48" s="158"/>
      <c r="E48" s="154">
        <v>483775</v>
      </c>
      <c r="F48" s="154"/>
      <c r="G48" s="154">
        <f>+E48+C48</f>
        <v>1441912</v>
      </c>
      <c r="H48" s="154"/>
      <c r="I48" s="154">
        <v>38106</v>
      </c>
      <c r="J48" s="154"/>
      <c r="K48" s="154">
        <f>+G48+I48</f>
        <v>1480018</v>
      </c>
      <c r="M48" s="154">
        <v>706379</v>
      </c>
      <c r="N48" s="158"/>
      <c r="O48" s="154">
        <v>416110</v>
      </c>
      <c r="P48" s="154"/>
      <c r="Q48" s="154">
        <f>+O48+M48</f>
        <v>1122489</v>
      </c>
      <c r="R48" s="154"/>
      <c r="S48" s="154">
        <v>24581</v>
      </c>
      <c r="T48" s="154"/>
      <c r="U48" s="154">
        <f>+Q48+S48</f>
        <v>1147070</v>
      </c>
      <c r="W48" s="154">
        <v>625587</v>
      </c>
      <c r="X48" s="158"/>
      <c r="Y48" s="154">
        <v>351046</v>
      </c>
      <c r="Z48" s="154"/>
      <c r="AA48" s="154">
        <f>+Y48+W48</f>
        <v>976633</v>
      </c>
      <c r="AB48" s="154"/>
      <c r="AC48" s="154">
        <v>29214</v>
      </c>
      <c r="AD48" s="154"/>
      <c r="AE48" s="154">
        <f>+AA48+AC48</f>
        <v>1005847</v>
      </c>
      <c r="AG48" s="154">
        <v>571238</v>
      </c>
      <c r="AH48" s="158"/>
      <c r="AI48" s="154">
        <v>567618</v>
      </c>
      <c r="AJ48" s="154"/>
      <c r="AK48" s="154">
        <f>+AI48+AG48</f>
        <v>1138856</v>
      </c>
      <c r="AL48" s="154"/>
      <c r="AM48" s="154">
        <v>11989</v>
      </c>
      <c r="AN48" s="154"/>
      <c r="AO48" s="154">
        <f>+AK48+AM48</f>
        <v>1150845</v>
      </c>
    </row>
    <row r="49" spans="1:41" ht="13.5">
      <c r="A49" s="57" t="s">
        <v>405</v>
      </c>
      <c r="B49" s="177"/>
      <c r="C49" s="154">
        <v>661752</v>
      </c>
      <c r="D49" s="158"/>
      <c r="E49" s="154">
        <v>182689</v>
      </c>
      <c r="F49" s="154"/>
      <c r="G49" s="154">
        <f>+E49+C49</f>
        <v>844441</v>
      </c>
      <c r="H49" s="154"/>
      <c r="I49" s="154">
        <v>31854</v>
      </c>
      <c r="J49" s="154"/>
      <c r="K49" s="154">
        <f>+G49+I49</f>
        <v>876295</v>
      </c>
      <c r="M49" s="154">
        <v>352201</v>
      </c>
      <c r="N49" s="158"/>
      <c r="O49" s="154">
        <v>114285</v>
      </c>
      <c r="P49" s="154"/>
      <c r="Q49" s="154">
        <f>+O49+M49</f>
        <v>466486</v>
      </c>
      <c r="R49" s="154"/>
      <c r="S49" s="154">
        <v>24239</v>
      </c>
      <c r="T49" s="154"/>
      <c r="U49" s="154">
        <f>+Q49+S49</f>
        <v>490725</v>
      </c>
      <c r="W49" s="154">
        <v>462558</v>
      </c>
      <c r="X49" s="158"/>
      <c r="Y49" s="154">
        <v>257600</v>
      </c>
      <c r="Z49" s="154"/>
      <c r="AA49" s="154">
        <f>+Y49+W49</f>
        <v>720158</v>
      </c>
      <c r="AB49" s="154"/>
      <c r="AC49" s="154">
        <v>28994</v>
      </c>
      <c r="AD49" s="154"/>
      <c r="AE49" s="154">
        <f>+AA49+AC49</f>
        <v>749152</v>
      </c>
      <c r="AG49" s="154">
        <v>342227</v>
      </c>
      <c r="AH49" s="158"/>
      <c r="AI49" s="154">
        <v>458094</v>
      </c>
      <c r="AJ49" s="154"/>
      <c r="AK49" s="154">
        <f>+AI49+AG49</f>
        <v>800321</v>
      </c>
      <c r="AL49" s="154"/>
      <c r="AM49" s="154">
        <v>11933</v>
      </c>
      <c r="AN49" s="154"/>
      <c r="AO49" s="154">
        <f>+AK49+AM49</f>
        <v>812254</v>
      </c>
    </row>
    <row r="50" spans="1:41" ht="13.5">
      <c r="A50" s="57"/>
      <c r="B50" s="177"/>
      <c r="C50" s="57"/>
      <c r="D50" s="173"/>
      <c r="E50" s="57"/>
      <c r="F50" s="57"/>
      <c r="G50" s="57"/>
      <c r="H50" s="57"/>
      <c r="I50" s="57"/>
      <c r="J50" s="57"/>
      <c r="K50" s="57"/>
      <c r="M50" s="57"/>
      <c r="N50" s="173"/>
      <c r="O50" s="57"/>
      <c r="P50" s="57"/>
      <c r="Q50" s="57"/>
      <c r="R50" s="57"/>
      <c r="S50" s="57"/>
      <c r="T50" s="57"/>
      <c r="U50" s="57"/>
      <c r="W50" s="57"/>
      <c r="X50" s="173"/>
      <c r="Y50" s="57"/>
      <c r="Z50" s="57"/>
      <c r="AA50" s="57"/>
      <c r="AB50" s="57"/>
      <c r="AC50" s="57"/>
      <c r="AD50" s="57"/>
      <c r="AE50" s="57"/>
      <c r="AG50" s="57"/>
      <c r="AH50" s="173"/>
      <c r="AI50" s="57"/>
      <c r="AJ50" s="57"/>
      <c r="AK50" s="57"/>
      <c r="AL50" s="57"/>
      <c r="AM50" s="57"/>
      <c r="AN50" s="57"/>
      <c r="AO50" s="57"/>
    </row>
    <row r="51" spans="1:41" ht="13.5">
      <c r="A51" s="57" t="s">
        <v>406</v>
      </c>
      <c r="B51" s="177"/>
      <c r="C51" s="154">
        <v>598834</v>
      </c>
      <c r="D51" s="158"/>
      <c r="E51" s="154">
        <v>273600</v>
      </c>
      <c r="F51" s="154"/>
      <c r="G51" s="154">
        <f>+C51+E51</f>
        <v>872434</v>
      </c>
      <c r="H51" s="154"/>
      <c r="I51" s="154">
        <v>19078</v>
      </c>
      <c r="J51" s="154"/>
      <c r="K51" s="154">
        <f>+G51+I51</f>
        <v>891512</v>
      </c>
      <c r="M51" s="154">
        <v>495273</v>
      </c>
      <c r="N51" s="158"/>
      <c r="O51" s="154">
        <v>196751</v>
      </c>
      <c r="P51" s="154"/>
      <c r="Q51" s="154">
        <f>+M51+O51</f>
        <v>692024</v>
      </c>
      <c r="R51" s="154"/>
      <c r="S51" s="154">
        <v>13253</v>
      </c>
      <c r="T51" s="154"/>
      <c r="U51" s="154">
        <f>+Q51+S51</f>
        <v>705277</v>
      </c>
      <c r="W51" s="154">
        <v>339923</v>
      </c>
      <c r="X51" s="158"/>
      <c r="Y51" s="154">
        <v>292407</v>
      </c>
      <c r="Z51" s="154"/>
      <c r="AA51" s="154">
        <f>+W51+Y51</f>
        <v>632330</v>
      </c>
      <c r="AB51" s="154"/>
      <c r="AC51" s="154">
        <v>8654</v>
      </c>
      <c r="AD51" s="154"/>
      <c r="AE51" s="154">
        <f>+AA51+AC51</f>
        <v>640984</v>
      </c>
      <c r="AG51" s="154">
        <v>269473</v>
      </c>
      <c r="AH51" s="158"/>
      <c r="AI51" s="154">
        <v>266860</v>
      </c>
      <c r="AJ51" s="154"/>
      <c r="AK51" s="154">
        <f>+AG51+AI51</f>
        <v>536333</v>
      </c>
      <c r="AL51" s="154"/>
      <c r="AM51" s="154">
        <v>5821</v>
      </c>
      <c r="AN51" s="154"/>
      <c r="AO51" s="154">
        <f>+AK51+AM51</f>
        <v>542154</v>
      </c>
    </row>
    <row r="52" spans="1:41" ht="13.5">
      <c r="A52" s="57" t="s">
        <v>395</v>
      </c>
      <c r="B52" s="177"/>
      <c r="C52" s="156">
        <v>8204</v>
      </c>
      <c r="D52" s="174"/>
      <c r="E52" s="156">
        <v>-2156</v>
      </c>
      <c r="F52" s="156"/>
      <c r="G52" s="156">
        <f>+C52+E52</f>
        <v>6048</v>
      </c>
      <c r="H52" s="156"/>
      <c r="I52" s="156">
        <v>10864</v>
      </c>
      <c r="J52" s="156"/>
      <c r="K52" s="156">
        <f>+G52+I52</f>
        <v>16912</v>
      </c>
      <c r="M52" s="156">
        <v>7116</v>
      </c>
      <c r="N52" s="174"/>
      <c r="O52" s="156">
        <v>-5175</v>
      </c>
      <c r="P52" s="156"/>
      <c r="Q52" s="156">
        <f>+M52+O52</f>
        <v>1941</v>
      </c>
      <c r="R52" s="156"/>
      <c r="S52" s="156">
        <v>6049</v>
      </c>
      <c r="T52" s="156"/>
      <c r="U52" s="156">
        <f>+Q52+S52</f>
        <v>7990</v>
      </c>
      <c r="W52" s="156">
        <v>413</v>
      </c>
      <c r="X52" s="174"/>
      <c r="Y52" s="156">
        <v>714</v>
      </c>
      <c r="Z52" s="156"/>
      <c r="AA52" s="156">
        <f>+W52+Y52</f>
        <v>1127</v>
      </c>
      <c r="AB52" s="156"/>
      <c r="AC52" s="156">
        <v>10366</v>
      </c>
      <c r="AD52" s="156"/>
      <c r="AE52" s="156">
        <f>+AA52+AC52</f>
        <v>11493</v>
      </c>
      <c r="AG52" s="156">
        <v>2625</v>
      </c>
      <c r="AH52" s="174"/>
      <c r="AI52" s="156">
        <v>-563</v>
      </c>
      <c r="AJ52" s="156"/>
      <c r="AK52" s="156">
        <f>+AG52+AI52</f>
        <v>2062</v>
      </c>
      <c r="AL52" s="156"/>
      <c r="AM52" s="156">
        <v>5007</v>
      </c>
      <c r="AN52" s="156"/>
      <c r="AO52" s="156">
        <f>+AK52+AM52</f>
        <v>7069</v>
      </c>
    </row>
    <row r="53" spans="1:41" ht="13.5">
      <c r="A53" s="57"/>
      <c r="B53" s="177"/>
      <c r="C53" s="156"/>
      <c r="D53" s="174"/>
      <c r="E53" s="156"/>
      <c r="F53" s="156"/>
      <c r="G53" s="156"/>
      <c r="H53" s="156"/>
      <c r="I53" s="156"/>
      <c r="J53" s="156"/>
      <c r="K53" s="156"/>
      <c r="M53" s="156"/>
      <c r="N53" s="174"/>
      <c r="O53" s="156"/>
      <c r="P53" s="156"/>
      <c r="Q53" s="156"/>
      <c r="R53" s="156"/>
      <c r="S53" s="156"/>
      <c r="T53" s="156"/>
      <c r="U53" s="156"/>
      <c r="W53" s="156"/>
      <c r="X53" s="174"/>
      <c r="Y53" s="156"/>
      <c r="Z53" s="156"/>
      <c r="AA53" s="156"/>
      <c r="AB53" s="156"/>
      <c r="AC53" s="156"/>
      <c r="AD53" s="156"/>
      <c r="AE53" s="156"/>
      <c r="AG53" s="156"/>
      <c r="AH53" s="174"/>
      <c r="AI53" s="156"/>
      <c r="AJ53" s="156"/>
      <c r="AK53" s="156"/>
      <c r="AL53" s="156"/>
      <c r="AM53" s="156"/>
      <c r="AN53" s="156"/>
      <c r="AO53" s="156"/>
    </row>
    <row r="54" spans="1:41" ht="13.5">
      <c r="A54" s="57" t="s">
        <v>396</v>
      </c>
      <c r="B54" s="177"/>
      <c r="C54" s="156">
        <v>399850</v>
      </c>
      <c r="D54" s="174"/>
      <c r="E54" s="156">
        <v>433923</v>
      </c>
      <c r="F54" s="156"/>
      <c r="G54" s="156">
        <f>+C54+E54</f>
        <v>833773</v>
      </c>
      <c r="H54" s="156"/>
      <c r="I54" s="156">
        <v>11398</v>
      </c>
      <c r="J54" s="156"/>
      <c r="K54" s="156">
        <f>+G54+I54</f>
        <v>845171</v>
      </c>
      <c r="M54" s="156">
        <v>709056</v>
      </c>
      <c r="N54" s="174"/>
      <c r="O54" s="156">
        <v>643052</v>
      </c>
      <c r="P54" s="156"/>
      <c r="Q54" s="156">
        <f>+M54+O54</f>
        <v>1352108</v>
      </c>
      <c r="R54" s="156"/>
      <c r="S54" s="156">
        <v>4464</v>
      </c>
      <c r="T54" s="156"/>
      <c r="U54" s="156">
        <f>+Q54+S54</f>
        <v>1356572</v>
      </c>
      <c r="W54" s="156">
        <v>201598</v>
      </c>
      <c r="X54" s="174"/>
      <c r="Y54" s="156">
        <v>183339</v>
      </c>
      <c r="Z54" s="156"/>
      <c r="AA54" s="156">
        <f>+W54+Y54</f>
        <v>384937</v>
      </c>
      <c r="AB54" s="156"/>
      <c r="AC54" s="156">
        <v>2014</v>
      </c>
      <c r="AD54" s="156"/>
      <c r="AE54" s="156">
        <f>+AA54+AC54</f>
        <v>386951</v>
      </c>
      <c r="AG54" s="156">
        <v>160131</v>
      </c>
      <c r="AH54" s="174"/>
      <c r="AI54" s="156">
        <v>168458</v>
      </c>
      <c r="AJ54" s="156"/>
      <c r="AK54" s="156">
        <f>+AG54+AI54</f>
        <v>328589</v>
      </c>
      <c r="AL54" s="156"/>
      <c r="AM54" s="156">
        <v>1615</v>
      </c>
      <c r="AN54" s="156"/>
      <c r="AO54" s="156">
        <f>+AK54+AM54</f>
        <v>330204</v>
      </c>
    </row>
    <row r="55" spans="1:41" ht="13.5">
      <c r="A55" s="57" t="s">
        <v>397</v>
      </c>
      <c r="B55" s="177"/>
      <c r="C55" s="156">
        <v>128709</v>
      </c>
      <c r="D55" s="174"/>
      <c r="E55" s="156">
        <v>73798</v>
      </c>
      <c r="F55" s="156"/>
      <c r="G55" s="156">
        <f>+C55+E55</f>
        <v>202507</v>
      </c>
      <c r="H55" s="156"/>
      <c r="I55" s="156">
        <v>1274</v>
      </c>
      <c r="J55" s="156"/>
      <c r="K55" s="156">
        <f>+G55+I55</f>
        <v>203781</v>
      </c>
      <c r="M55" s="156">
        <v>92668</v>
      </c>
      <c r="N55" s="174"/>
      <c r="O55" s="156">
        <v>72545</v>
      </c>
      <c r="P55" s="156"/>
      <c r="Q55" s="156">
        <f>+M55+O55</f>
        <v>165213</v>
      </c>
      <c r="R55" s="156"/>
      <c r="S55" s="156">
        <v>978</v>
      </c>
      <c r="T55" s="156"/>
      <c r="U55" s="156">
        <f>+Q55+S55</f>
        <v>166191</v>
      </c>
      <c r="W55" s="156">
        <v>65919</v>
      </c>
      <c r="X55" s="174"/>
      <c r="Y55" s="156">
        <v>76126</v>
      </c>
      <c r="Z55" s="156"/>
      <c r="AA55" s="156">
        <f>+W55+Y55</f>
        <v>142045</v>
      </c>
      <c r="AB55" s="156"/>
      <c r="AC55" s="156">
        <v>1157</v>
      </c>
      <c r="AD55" s="156"/>
      <c r="AE55" s="156">
        <f>+AA55+AC55</f>
        <v>143202</v>
      </c>
      <c r="AG55" s="156">
        <v>55951</v>
      </c>
      <c r="AH55" s="174"/>
      <c r="AI55" s="156">
        <v>69600</v>
      </c>
      <c r="AJ55" s="156"/>
      <c r="AK55" s="156">
        <f>+AG55+AI55</f>
        <v>125551</v>
      </c>
      <c r="AL55" s="156"/>
      <c r="AM55" s="156">
        <v>321</v>
      </c>
      <c r="AN55" s="156"/>
      <c r="AO55" s="156">
        <f>+AK55+AM55</f>
        <v>125872</v>
      </c>
    </row>
    <row r="56" spans="1:41" ht="13.5">
      <c r="A56" s="57" t="s">
        <v>398</v>
      </c>
      <c r="B56" s="177"/>
      <c r="C56" s="156">
        <v>58116</v>
      </c>
      <c r="D56" s="174"/>
      <c r="E56" s="156">
        <v>26316</v>
      </c>
      <c r="F56" s="156"/>
      <c r="G56" s="156">
        <f>+C56+E56</f>
        <v>84432</v>
      </c>
      <c r="H56" s="156"/>
      <c r="I56" s="156">
        <v>13371</v>
      </c>
      <c r="J56" s="156"/>
      <c r="K56" s="156">
        <f>+G56+I56</f>
        <v>97803</v>
      </c>
      <c r="M56" s="156">
        <v>76277</v>
      </c>
      <c r="N56" s="174"/>
      <c r="O56" s="156">
        <v>21078</v>
      </c>
      <c r="P56" s="156"/>
      <c r="Q56" s="156">
        <f>+M56+O56</f>
        <v>97355</v>
      </c>
      <c r="R56" s="156"/>
      <c r="S56" s="156">
        <v>10813</v>
      </c>
      <c r="T56" s="156"/>
      <c r="U56" s="156">
        <f>+Q56+S56</f>
        <v>108168</v>
      </c>
      <c r="W56" s="156">
        <v>33565</v>
      </c>
      <c r="X56" s="174"/>
      <c r="Y56" s="156">
        <v>23069</v>
      </c>
      <c r="Z56" s="156"/>
      <c r="AA56" s="156">
        <f>+W56+Y56</f>
        <v>56634</v>
      </c>
      <c r="AB56" s="156"/>
      <c r="AC56" s="156">
        <v>6863</v>
      </c>
      <c r="AD56" s="156"/>
      <c r="AE56" s="156">
        <f>+AA56+AC56</f>
        <v>63497</v>
      </c>
      <c r="AG56" s="156">
        <v>32787</v>
      </c>
      <c r="AH56" s="174"/>
      <c r="AI56" s="156">
        <v>16706</v>
      </c>
      <c r="AJ56" s="156"/>
      <c r="AK56" s="156">
        <f>+AG56+AI56</f>
        <v>49493</v>
      </c>
      <c r="AL56" s="156"/>
      <c r="AM56" s="156">
        <v>11357</v>
      </c>
      <c r="AN56" s="156"/>
      <c r="AO56" s="156">
        <f>+AK56+AM56</f>
        <v>60850</v>
      </c>
    </row>
    <row r="57" spans="1:41" ht="13.5">
      <c r="A57" s="57" t="s">
        <v>469</v>
      </c>
      <c r="B57" s="177"/>
      <c r="C57" s="180">
        <v>861</v>
      </c>
      <c r="D57" s="175"/>
      <c r="E57" s="156">
        <v>-2312</v>
      </c>
      <c r="F57" s="57"/>
      <c r="G57" s="156">
        <f>+C57+E57</f>
        <v>-1451</v>
      </c>
      <c r="H57" s="156"/>
      <c r="I57" s="156">
        <v>0</v>
      </c>
      <c r="J57" s="154"/>
      <c r="K57" s="156">
        <f>+G57+I57</f>
        <v>-1451</v>
      </c>
      <c r="M57" s="180">
        <v>5860</v>
      </c>
      <c r="N57" s="175"/>
      <c r="O57" s="156">
        <v>1337</v>
      </c>
      <c r="P57" s="57"/>
      <c r="Q57" s="156">
        <f>+M57+O57</f>
        <v>7197</v>
      </c>
      <c r="R57" s="156"/>
      <c r="S57" s="156">
        <v>0</v>
      </c>
      <c r="T57" s="154"/>
      <c r="U57" s="156">
        <f>+Q57+S57</f>
        <v>7197</v>
      </c>
      <c r="W57" s="180">
        <v>-22181</v>
      </c>
      <c r="X57" s="175"/>
      <c r="Y57" s="156">
        <v>4825</v>
      </c>
      <c r="Z57" s="57"/>
      <c r="AA57" s="156">
        <f>+W57+Y57</f>
        <v>-17356</v>
      </c>
      <c r="AB57" s="156"/>
      <c r="AC57" s="156">
        <v>0</v>
      </c>
      <c r="AD57" s="154"/>
      <c r="AE57" s="156">
        <f>+AA57+AC57</f>
        <v>-17356</v>
      </c>
      <c r="AG57" s="180">
        <v>-1382</v>
      </c>
      <c r="AH57" s="175"/>
      <c r="AI57" s="156">
        <v>212</v>
      </c>
      <c r="AJ57" s="57"/>
      <c r="AK57" s="156">
        <f>+AG57+AI57</f>
        <v>-1170</v>
      </c>
      <c r="AL57" s="156"/>
      <c r="AM57" s="156">
        <v>0</v>
      </c>
      <c r="AN57" s="154"/>
      <c r="AO57" s="156">
        <f>+AK57+AM57</f>
        <v>-1170</v>
      </c>
    </row>
    <row r="58" spans="1:41" ht="13.5">
      <c r="A58" s="57"/>
      <c r="B58" s="177"/>
      <c r="C58" s="57"/>
      <c r="D58" s="173"/>
      <c r="E58" s="57"/>
      <c r="F58" s="57"/>
      <c r="G58" s="57"/>
      <c r="H58" s="156"/>
      <c r="I58" s="57"/>
      <c r="J58" s="154"/>
      <c r="K58" s="57"/>
      <c r="M58" s="57"/>
      <c r="N58" s="173"/>
      <c r="O58" s="57"/>
      <c r="P58" s="57"/>
      <c r="Q58" s="57"/>
      <c r="R58" s="156"/>
      <c r="S58" s="57"/>
      <c r="T58" s="154"/>
      <c r="U58" s="57"/>
      <c r="W58" s="57"/>
      <c r="X58" s="173"/>
      <c r="Y58" s="57"/>
      <c r="Z58" s="57"/>
      <c r="AA58" s="57"/>
      <c r="AB58" s="156"/>
      <c r="AC58" s="57"/>
      <c r="AD58" s="154"/>
      <c r="AE58" s="57"/>
      <c r="AG58" s="57"/>
      <c r="AH58" s="173"/>
      <c r="AI58" s="57"/>
      <c r="AJ58" s="57"/>
      <c r="AK58" s="57"/>
      <c r="AL58" s="156"/>
      <c r="AM58" s="57"/>
      <c r="AN58" s="154"/>
      <c r="AO58" s="57"/>
    </row>
    <row r="59" spans="1:41" ht="13.5">
      <c r="A59" s="57" t="s">
        <v>342</v>
      </c>
      <c r="B59" s="177"/>
      <c r="C59" s="157">
        <f>+C51+C52-C54-C55-C56-C57</f>
        <v>19502</v>
      </c>
      <c r="D59" s="158"/>
      <c r="E59" s="157">
        <f>+E51+E52-E54-E55-E56-E57</f>
        <v>-260281</v>
      </c>
      <c r="F59" s="57"/>
      <c r="G59" s="157">
        <f>+G51+G52-G54-G55-G56-G57</f>
        <v>-240779</v>
      </c>
      <c r="H59" s="156"/>
      <c r="I59" s="157">
        <f>+I51+I52-I54-I55-I56-I57</f>
        <v>3899</v>
      </c>
      <c r="J59" s="154"/>
      <c r="K59" s="157">
        <f>+K51+K52-K54-K55-K56-K57</f>
        <v>-236880</v>
      </c>
      <c r="M59" s="157">
        <f>+M51+M52-M54-M55-M56-M57</f>
        <v>-381472</v>
      </c>
      <c r="N59" s="158"/>
      <c r="O59" s="157">
        <f>+O51+O52-O54-O55-O56-O57</f>
        <v>-546436</v>
      </c>
      <c r="P59" s="57"/>
      <c r="Q59" s="157">
        <f>+Q51+Q52-Q54-Q55-Q56-Q57</f>
        <v>-927908</v>
      </c>
      <c r="R59" s="156"/>
      <c r="S59" s="157">
        <f>+S51+S52-S54-S55-S56-S57</f>
        <v>3047</v>
      </c>
      <c r="T59" s="154"/>
      <c r="U59" s="157">
        <f>+U51+U52-U54-U55-U56-U57</f>
        <v>-924861</v>
      </c>
      <c r="W59" s="157">
        <f>+W51+W52-W54-W55-W56-W57</f>
        <v>61435</v>
      </c>
      <c r="X59" s="158"/>
      <c r="Y59" s="157">
        <f>+Y51+Y52-Y54-Y55-Y56-Y57</f>
        <v>5762</v>
      </c>
      <c r="Z59" s="57"/>
      <c r="AA59" s="157">
        <f>+AA51+AA52-AA54-AA55-AA56-AA57</f>
        <v>67197</v>
      </c>
      <c r="AB59" s="156"/>
      <c r="AC59" s="157">
        <f>+AC51+AC52-AC54-AC55-AC56-AC57</f>
        <v>8986</v>
      </c>
      <c r="AD59" s="154"/>
      <c r="AE59" s="157">
        <f>+AE51+AE52-AE54-AE55-AE56-AE57</f>
        <v>76183</v>
      </c>
      <c r="AG59" s="157">
        <f>+AG51+AG52-AG54-AG55-AG56-AG57</f>
        <v>24611</v>
      </c>
      <c r="AH59" s="158"/>
      <c r="AI59" s="157">
        <f>+AI51+AI52-AI54-AI55-AI56-AI57</f>
        <v>11321</v>
      </c>
      <c r="AJ59" s="57"/>
      <c r="AK59" s="157">
        <f>+AK51+AK52-AK54-AK55-AK56-AK57</f>
        <v>35932</v>
      </c>
      <c r="AL59" s="156"/>
      <c r="AM59" s="157">
        <f>+AM51+AM52-AM54-AM55-AM56-AM57</f>
        <v>-2465</v>
      </c>
      <c r="AN59" s="154"/>
      <c r="AO59" s="157">
        <f>+AO51+AO52-AO54-AO55-AO56-AO57</f>
        <v>33467</v>
      </c>
    </row>
    <row r="60" spans="3:41" ht="13.5">
      <c r="C60" s="57"/>
      <c r="D60" s="173"/>
      <c r="E60" s="57"/>
      <c r="F60" s="57"/>
      <c r="G60" s="57"/>
      <c r="H60" s="156"/>
      <c r="I60" s="57"/>
      <c r="J60" s="154"/>
      <c r="K60" s="57"/>
      <c r="M60" s="57"/>
      <c r="N60" s="173"/>
      <c r="O60" s="57"/>
      <c r="P60" s="57"/>
      <c r="Q60" s="57"/>
      <c r="R60" s="156"/>
      <c r="S60" s="57"/>
      <c r="T60" s="154"/>
      <c r="U60" s="57"/>
      <c r="W60" s="57"/>
      <c r="X60" s="173"/>
      <c r="Y60" s="57"/>
      <c r="Z60" s="57"/>
      <c r="AA60" s="57"/>
      <c r="AB60" s="156"/>
      <c r="AC60" s="57"/>
      <c r="AD60" s="154"/>
      <c r="AE60" s="57"/>
      <c r="AG60" s="57"/>
      <c r="AH60" s="173"/>
      <c r="AI60" s="57"/>
      <c r="AJ60" s="57"/>
      <c r="AK60" s="57"/>
      <c r="AL60" s="156"/>
      <c r="AM60" s="57"/>
      <c r="AN60" s="154"/>
      <c r="AO60" s="57"/>
    </row>
    <row r="61" spans="1:41" ht="13.5">
      <c r="A61" s="57" t="s">
        <v>2</v>
      </c>
      <c r="B61" s="178"/>
      <c r="C61" s="57"/>
      <c r="D61" s="173"/>
      <c r="E61" s="57"/>
      <c r="F61" s="57"/>
      <c r="G61" s="57"/>
      <c r="H61" s="57"/>
      <c r="I61" s="57"/>
      <c r="J61" s="154"/>
      <c r="K61" s="156">
        <v>-6284</v>
      </c>
      <c r="M61" s="57"/>
      <c r="N61" s="173"/>
      <c r="O61" s="57"/>
      <c r="P61" s="57"/>
      <c r="Q61" s="57"/>
      <c r="R61" s="57"/>
      <c r="S61" s="57"/>
      <c r="T61" s="154"/>
      <c r="U61" s="156">
        <v>-8554</v>
      </c>
      <c r="W61" s="57"/>
      <c r="X61" s="173"/>
      <c r="Y61" s="57"/>
      <c r="Z61" s="57"/>
      <c r="AA61" s="57"/>
      <c r="AB61" s="57"/>
      <c r="AC61" s="57"/>
      <c r="AD61" s="154"/>
      <c r="AE61" s="156">
        <v>5026</v>
      </c>
      <c r="AG61" s="57"/>
      <c r="AH61" s="173"/>
      <c r="AI61" s="57"/>
      <c r="AJ61" s="57"/>
      <c r="AK61" s="57"/>
      <c r="AL61" s="57"/>
      <c r="AM61" s="57"/>
      <c r="AN61" s="154"/>
      <c r="AO61" s="156">
        <v>-2364</v>
      </c>
    </row>
    <row r="62" spans="3:41" ht="13.5">
      <c r="C62" s="57"/>
      <c r="D62" s="173"/>
      <c r="E62" s="57"/>
      <c r="F62" s="57"/>
      <c r="G62" s="57"/>
      <c r="H62" s="57"/>
      <c r="I62" s="57"/>
      <c r="J62" s="154"/>
      <c r="K62" s="179"/>
      <c r="M62" s="57"/>
      <c r="N62" s="173"/>
      <c r="O62" s="57"/>
      <c r="P62" s="57"/>
      <c r="Q62" s="57"/>
      <c r="R62" s="57"/>
      <c r="S62" s="57"/>
      <c r="T62" s="154"/>
      <c r="U62" s="179"/>
      <c r="W62" s="57"/>
      <c r="X62" s="173"/>
      <c r="Y62" s="57"/>
      <c r="Z62" s="57"/>
      <c r="AA62" s="57"/>
      <c r="AB62" s="57"/>
      <c r="AC62" s="57"/>
      <c r="AD62" s="154"/>
      <c r="AE62" s="179"/>
      <c r="AG62" s="57"/>
      <c r="AH62" s="173"/>
      <c r="AI62" s="57"/>
      <c r="AJ62" s="57"/>
      <c r="AK62" s="57"/>
      <c r="AL62" s="57"/>
      <c r="AM62" s="57"/>
      <c r="AN62" s="154"/>
      <c r="AO62" s="179"/>
    </row>
    <row r="63" spans="1:41" ht="13.5">
      <c r="A63" s="152" t="s">
        <v>584</v>
      </c>
      <c r="C63" s="57"/>
      <c r="D63" s="173"/>
      <c r="E63" s="57"/>
      <c r="F63" s="57"/>
      <c r="G63" s="57"/>
      <c r="H63" s="57"/>
      <c r="I63" s="57"/>
      <c r="J63" s="154"/>
      <c r="K63" s="179"/>
      <c r="M63" s="57"/>
      <c r="N63" s="173"/>
      <c r="O63" s="57"/>
      <c r="P63" s="57"/>
      <c r="Q63" s="57"/>
      <c r="R63" s="57"/>
      <c r="S63" s="57"/>
      <c r="T63" s="154"/>
      <c r="U63" s="179"/>
      <c r="W63" s="57"/>
      <c r="X63" s="173"/>
      <c r="Y63" s="57"/>
      <c r="Z63" s="57"/>
      <c r="AA63" s="57"/>
      <c r="AB63" s="57"/>
      <c r="AC63" s="57"/>
      <c r="AD63" s="154"/>
      <c r="AE63" s="179"/>
      <c r="AG63" s="57"/>
      <c r="AH63" s="173"/>
      <c r="AI63" s="57"/>
      <c r="AJ63" s="57"/>
      <c r="AK63" s="57"/>
      <c r="AL63" s="57"/>
      <c r="AM63" s="57"/>
      <c r="AN63" s="154"/>
      <c r="AO63" s="179"/>
    </row>
    <row r="64" spans="1:41" ht="13.5">
      <c r="A64" s="57" t="s">
        <v>343</v>
      </c>
      <c r="C64" s="181">
        <f>+C54/C51</f>
        <v>0.6677142580414606</v>
      </c>
      <c r="D64" s="172"/>
      <c r="E64" s="181">
        <f>+E54/E51</f>
        <v>1.5859758771929824</v>
      </c>
      <c r="F64" s="57"/>
      <c r="G64" s="181">
        <f>+G54/G51</f>
        <v>0.9556860461650968</v>
      </c>
      <c r="H64" s="181"/>
      <c r="I64" s="57"/>
      <c r="J64" s="154"/>
      <c r="K64" s="57"/>
      <c r="M64" s="181">
        <f>+M54/M51</f>
        <v>1.4316467887407551</v>
      </c>
      <c r="N64" s="172"/>
      <c r="O64" s="181">
        <f>+O54/O51</f>
        <v>3.2683544175124903</v>
      </c>
      <c r="P64" s="57"/>
      <c r="Q64" s="181">
        <f>+Q54/Q51</f>
        <v>1.9538455313688543</v>
      </c>
      <c r="R64" s="181"/>
      <c r="S64" s="57"/>
      <c r="T64" s="154"/>
      <c r="U64" s="57"/>
      <c r="W64" s="181">
        <f>+W54/W51</f>
        <v>0.5930696069403953</v>
      </c>
      <c r="X64" s="172"/>
      <c r="Y64" s="181">
        <f>+Y54/Y51</f>
        <v>0.6269993536406447</v>
      </c>
      <c r="Z64" s="57"/>
      <c r="AA64" s="181">
        <f>+AA54/AA51</f>
        <v>0.6087596666297661</v>
      </c>
      <c r="AB64" s="181"/>
      <c r="AC64" s="57"/>
      <c r="AD64" s="154"/>
      <c r="AE64" s="57"/>
      <c r="AG64" s="181">
        <f>+AG54/AG51</f>
        <v>0.5942376416190119</v>
      </c>
      <c r="AH64" s="172"/>
      <c r="AI64" s="181">
        <f>+AI54/AI51</f>
        <v>0.6312598366184516</v>
      </c>
      <c r="AJ64" s="57"/>
      <c r="AK64" s="181">
        <f>+AK54/AK51</f>
        <v>0.6126585535478891</v>
      </c>
      <c r="AL64" s="181"/>
      <c r="AM64" s="57"/>
      <c r="AN64" s="154"/>
      <c r="AO64" s="57"/>
    </row>
    <row r="65" spans="1:41" ht="13.5">
      <c r="A65" s="57" t="s">
        <v>483</v>
      </c>
      <c r="C65" s="181">
        <f>+(C56+C55)/C51</f>
        <v>0.3119812836278501</v>
      </c>
      <c r="D65" s="172"/>
      <c r="E65" s="181">
        <f>+(E56+E55)/E51</f>
        <v>0.3659137426900585</v>
      </c>
      <c r="F65" s="57"/>
      <c r="G65" s="181">
        <f>+(G56+G55)/G51</f>
        <v>0.32889479318779413</v>
      </c>
      <c r="H65" s="181"/>
      <c r="I65" s="57"/>
      <c r="J65" s="154"/>
      <c r="K65" s="57"/>
      <c r="M65" s="181">
        <f>+(M56+M55)/M51</f>
        <v>0.3411149002671254</v>
      </c>
      <c r="N65" s="172"/>
      <c r="O65" s="181">
        <f>+(O56+O55)/O51</f>
        <v>0.4758451037097651</v>
      </c>
      <c r="P65" s="57"/>
      <c r="Q65" s="181">
        <f>+(Q56+Q55)/Q51</f>
        <v>0.3794203669236905</v>
      </c>
      <c r="R65" s="181"/>
      <c r="S65" s="57"/>
      <c r="T65" s="154"/>
      <c r="U65" s="57"/>
      <c r="W65" s="181">
        <f>+(W56+W55)/W51</f>
        <v>0.29266628030465724</v>
      </c>
      <c r="X65" s="172"/>
      <c r="Y65" s="181">
        <f>+(Y56+Y55)/Y51</f>
        <v>0.3392360648000903</v>
      </c>
      <c r="Z65" s="57"/>
      <c r="AA65" s="181">
        <f>+(AA56+AA55)/AA51</f>
        <v>0.31420144544778833</v>
      </c>
      <c r="AB65" s="181"/>
      <c r="AC65" s="57"/>
      <c r="AD65" s="154"/>
      <c r="AE65" s="57"/>
      <c r="AG65" s="181">
        <f>+(AG56+AG55)/AG51</f>
        <v>0.32930200799337966</v>
      </c>
      <c r="AH65" s="172"/>
      <c r="AI65" s="181">
        <f>+(AI56+AI55)/AI51</f>
        <v>0.32341302555647156</v>
      </c>
      <c r="AJ65" s="57"/>
      <c r="AK65" s="181">
        <f>+(AK56+AK55)/AK51</f>
        <v>0.32637186225721704</v>
      </c>
      <c r="AL65" s="181"/>
      <c r="AM65" s="57"/>
      <c r="AN65" s="154"/>
      <c r="AO65" s="57"/>
    </row>
    <row r="66" spans="1:41" ht="14.25" thickBot="1">
      <c r="A66" s="57" t="s">
        <v>346</v>
      </c>
      <c r="C66" s="182">
        <f>+C64+C65</f>
        <v>0.9796955416693107</v>
      </c>
      <c r="D66" s="172"/>
      <c r="E66" s="182">
        <f>+E64+E65</f>
        <v>1.9518896198830409</v>
      </c>
      <c r="F66" s="57"/>
      <c r="G66" s="182">
        <f>+G64+G65</f>
        <v>1.2845808393528908</v>
      </c>
      <c r="H66" s="172"/>
      <c r="I66" s="57"/>
      <c r="J66" s="154"/>
      <c r="K66" s="57"/>
      <c r="M66" s="182">
        <f>+M64+M65</f>
        <v>1.7727616890078806</v>
      </c>
      <c r="N66" s="172"/>
      <c r="O66" s="182">
        <f>+O64+O65</f>
        <v>3.7441995212222556</v>
      </c>
      <c r="P66" s="57"/>
      <c r="Q66" s="182">
        <f>+Q64+Q65</f>
        <v>2.3332658982925447</v>
      </c>
      <c r="R66" s="172"/>
      <c r="S66" s="57"/>
      <c r="T66" s="154"/>
      <c r="U66" s="57"/>
      <c r="W66" s="182">
        <f>+W64+W65</f>
        <v>0.8857358872450526</v>
      </c>
      <c r="X66" s="172"/>
      <c r="Y66" s="182">
        <f>+Y64+Y65</f>
        <v>0.966235418440735</v>
      </c>
      <c r="Z66" s="57"/>
      <c r="AA66" s="182">
        <f>+AA64+AA65</f>
        <v>0.9229611120775545</v>
      </c>
      <c r="AB66" s="172"/>
      <c r="AC66" s="57"/>
      <c r="AD66" s="154"/>
      <c r="AE66" s="57"/>
      <c r="AG66" s="182">
        <f>+AG64+AG65</f>
        <v>0.9235396496123915</v>
      </c>
      <c r="AH66" s="172"/>
      <c r="AI66" s="182">
        <f>+AI64+AI65</f>
        <v>0.9546728621749232</v>
      </c>
      <c r="AJ66" s="57"/>
      <c r="AK66" s="182">
        <f>+AK64+AK65</f>
        <v>0.9390304158051062</v>
      </c>
      <c r="AL66" s="172"/>
      <c r="AM66" s="57"/>
      <c r="AN66" s="154"/>
      <c r="AO66" s="57"/>
    </row>
    <row r="67" ht="14.25" thickTop="1"/>
    <row r="70" ht="13.5">
      <c r="A70" s="14" t="s">
        <v>315</v>
      </c>
    </row>
    <row r="71" spans="1:31" ht="13.5">
      <c r="A71" s="332" t="s">
        <v>16</v>
      </c>
      <c r="B71" s="332"/>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row>
  </sheetData>
  <mergeCells count="11">
    <mergeCell ref="M9:U9"/>
    <mergeCell ref="A71:AE71"/>
    <mergeCell ref="A1:AO1"/>
    <mergeCell ref="A2:AO2"/>
    <mergeCell ref="C9:K9"/>
    <mergeCell ref="C43:K43"/>
    <mergeCell ref="M43:U43"/>
    <mergeCell ref="W43:AE43"/>
    <mergeCell ref="AG43:AO43"/>
    <mergeCell ref="W9:AE9"/>
    <mergeCell ref="AG9:AO9"/>
  </mergeCells>
  <printOptions horizontalCentered="1" verticalCentered="1"/>
  <pageMargins left="0.17" right="0.21" top="0.89" bottom="1.57" header="0.5" footer="0.5"/>
  <pageSetup fitToHeight="1" fitToWidth="1" horizontalDpi="600" verticalDpi="600" orientation="landscape" scale="42" r:id="rId2"/>
  <headerFooter alignWithMargins="0">
    <oddHeader>&amp;L&amp;G&amp;C&amp;"Optima,Bold"&amp;18SEGMENT INFORMATION - 2001 QUARTERLY&amp;16
&amp;"Optima,Regular"&amp;12(U.S. dollars in thousands)
(Unaudited)</oddHeader>
    <oddFooter>&amp;C&amp;"Optima,Regular"12</oddFooter>
  </headerFooter>
  <legacyDrawingHF r:id="rId1"/>
</worksheet>
</file>

<file path=xl/worksheets/sheet16.xml><?xml version="1.0" encoding="utf-8"?>
<worksheet xmlns="http://schemas.openxmlformats.org/spreadsheetml/2006/main" xmlns:r="http://schemas.openxmlformats.org/officeDocument/2006/relationships">
  <sheetPr codeName="Sheet42"/>
  <dimension ref="A1:L71"/>
  <sheetViews>
    <sheetView workbookViewId="0" topLeftCell="A30">
      <selection activeCell="A55" sqref="A55"/>
    </sheetView>
  </sheetViews>
  <sheetFormatPr defaultColWidth="9.140625" defaultRowHeight="12.75"/>
  <cols>
    <col min="1" max="1" width="3.57421875" style="1" customWidth="1"/>
    <col min="2" max="2" width="27.7109375" style="0" customWidth="1"/>
    <col min="3" max="3" width="16.7109375" style="1" customWidth="1"/>
    <col min="4" max="4" width="3.28125" style="1" customWidth="1"/>
    <col min="5" max="5" width="16.7109375" style="1" customWidth="1"/>
    <col min="6" max="6" width="3.28125" style="1" customWidth="1"/>
    <col min="7" max="7" width="16.7109375" style="1" customWidth="1"/>
    <col min="8" max="8" width="3.28125" style="1" customWidth="1"/>
    <col min="9" max="9" width="16.7109375" style="1" customWidth="1"/>
    <col min="10" max="10" width="3.28125" style="1" customWidth="1"/>
    <col min="11" max="11" width="16.7109375" style="1" customWidth="1"/>
    <col min="12" max="12" width="11.28125" style="1" bestFit="1" customWidth="1"/>
    <col min="13" max="16384" width="9.140625" style="1" customWidth="1"/>
  </cols>
  <sheetData>
    <row r="1" spans="3:11" ht="15">
      <c r="C1" s="127"/>
      <c r="D1" s="127"/>
      <c r="E1" s="127"/>
      <c r="F1" s="127"/>
      <c r="G1" s="21" t="s">
        <v>389</v>
      </c>
      <c r="H1" s="21"/>
      <c r="I1" s="21" t="s">
        <v>391</v>
      </c>
      <c r="J1" s="21"/>
      <c r="K1" s="127"/>
    </row>
    <row r="2" spans="3:11" ht="15">
      <c r="C2" s="127"/>
      <c r="D2" s="127"/>
      <c r="E2" s="127"/>
      <c r="F2" s="127"/>
      <c r="G2" s="21" t="s">
        <v>390</v>
      </c>
      <c r="H2" s="21"/>
      <c r="I2" s="21" t="s">
        <v>392</v>
      </c>
      <c r="J2" s="21"/>
      <c r="K2" s="127"/>
    </row>
    <row r="3" spans="3:11" ht="15">
      <c r="C3" s="21" t="s">
        <v>387</v>
      </c>
      <c r="D3" s="21"/>
      <c r="E3" s="21" t="s">
        <v>388</v>
      </c>
      <c r="F3" s="21"/>
      <c r="G3" s="21" t="s">
        <v>388</v>
      </c>
      <c r="H3" s="21"/>
      <c r="I3" s="21" t="s">
        <v>393</v>
      </c>
      <c r="J3" s="21"/>
      <c r="K3" s="21" t="s">
        <v>394</v>
      </c>
    </row>
    <row r="4" spans="3:11" ht="15">
      <c r="C4" s="36"/>
      <c r="D4" s="21"/>
      <c r="E4" s="21"/>
      <c r="F4" s="21"/>
      <c r="G4" s="21"/>
      <c r="H4" s="21"/>
      <c r="I4" s="36" t="s">
        <v>588</v>
      </c>
      <c r="J4" s="21"/>
      <c r="K4" s="21"/>
    </row>
    <row r="5" ht="15">
      <c r="A5" s="9" t="s">
        <v>419</v>
      </c>
    </row>
    <row r="6" spans="1:11" ht="13.5">
      <c r="A6" s="1" t="s">
        <v>404</v>
      </c>
      <c r="C6" s="26">
        <v>986026</v>
      </c>
      <c r="D6" s="26"/>
      <c r="E6" s="26">
        <v>733885</v>
      </c>
      <c r="F6" s="26"/>
      <c r="G6" s="26">
        <f>+E6+C6</f>
        <v>1719911</v>
      </c>
      <c r="H6" s="26"/>
      <c r="I6" s="26">
        <f>61240-6328</f>
        <v>54912</v>
      </c>
      <c r="J6" s="26"/>
      <c r="K6" s="26">
        <f>+G6+I6</f>
        <v>1774823</v>
      </c>
    </row>
    <row r="7" spans="1:11" ht="13.5">
      <c r="A7" s="1" t="s">
        <v>405</v>
      </c>
      <c r="C7" s="26">
        <v>773273</v>
      </c>
      <c r="D7" s="26"/>
      <c r="E7" s="26">
        <v>544008</v>
      </c>
      <c r="F7" s="26"/>
      <c r="G7" s="26">
        <f>+E7+C7</f>
        <v>1317281</v>
      </c>
      <c r="H7" s="26"/>
      <c r="I7" s="26">
        <f>60821-6328</f>
        <v>54493</v>
      </c>
      <c r="J7" s="26"/>
      <c r="K7" s="26">
        <f>+G7+I7</f>
        <v>1371774</v>
      </c>
    </row>
    <row r="8" ht="6.75" customHeight="1"/>
    <row r="9" spans="1:11" ht="13.5">
      <c r="A9" s="1" t="s">
        <v>406</v>
      </c>
      <c r="C9" s="26">
        <f>865623-2169</f>
        <v>863454</v>
      </c>
      <c r="D9" s="26"/>
      <c r="E9" s="26">
        <v>643739</v>
      </c>
      <c r="F9" s="26"/>
      <c r="G9" s="26">
        <f>+C9+E9</f>
        <v>1507193</v>
      </c>
      <c r="H9" s="26"/>
      <c r="I9" s="26">
        <f>33558-8097</f>
        <v>25461</v>
      </c>
      <c r="J9" s="26"/>
      <c r="K9" s="26">
        <f>+G9+I9</f>
        <v>1532654</v>
      </c>
    </row>
    <row r="10" spans="1:12" ht="13.5">
      <c r="A10" s="1" t="s">
        <v>395</v>
      </c>
      <c r="C10" s="18">
        <v>13558</v>
      </c>
      <c r="D10" s="26"/>
      <c r="E10" s="18">
        <v>-1668</v>
      </c>
      <c r="F10" s="18"/>
      <c r="G10" s="18">
        <f>+C10+E10</f>
        <v>11890</v>
      </c>
      <c r="H10" s="18"/>
      <c r="I10" s="18">
        <f>3256+1327</f>
        <v>4583</v>
      </c>
      <c r="J10" s="18"/>
      <c r="K10" s="18">
        <f>+G10+I10</f>
        <v>16473</v>
      </c>
      <c r="L10" s="33"/>
    </row>
    <row r="11" spans="3:11" ht="6.75" customHeight="1">
      <c r="C11" s="18"/>
      <c r="D11" s="26"/>
      <c r="E11" s="18"/>
      <c r="F11" s="18"/>
      <c r="G11" s="18"/>
      <c r="H11" s="18"/>
      <c r="I11" s="18"/>
      <c r="J11" s="18"/>
      <c r="K11" s="18"/>
    </row>
    <row r="12" spans="1:11" ht="13.5">
      <c r="A12" s="1" t="s">
        <v>396</v>
      </c>
      <c r="C12" s="18">
        <f>477897-2645+16000</f>
        <v>491252</v>
      </c>
      <c r="D12" s="26"/>
      <c r="E12" s="18">
        <v>548227</v>
      </c>
      <c r="F12" s="18"/>
      <c r="G12" s="18">
        <f>+C12+E12</f>
        <v>1039479</v>
      </c>
      <c r="H12" s="18"/>
      <c r="I12" s="18">
        <v>-10764</v>
      </c>
      <c r="J12" s="18"/>
      <c r="K12" s="18">
        <f>+G12+I12</f>
        <v>1028715</v>
      </c>
    </row>
    <row r="13" spans="1:11" ht="13.5">
      <c r="A13" s="1" t="s">
        <v>397</v>
      </c>
      <c r="C13" s="18">
        <v>164207</v>
      </c>
      <c r="D13" s="26"/>
      <c r="E13" s="18">
        <v>147882</v>
      </c>
      <c r="F13" s="18"/>
      <c r="G13" s="18">
        <f>+C13+E13</f>
        <v>312089</v>
      </c>
      <c r="H13" s="18"/>
      <c r="I13" s="18">
        <v>3624</v>
      </c>
      <c r="J13" s="18"/>
      <c r="K13" s="18">
        <f>+G13+I13</f>
        <v>315713</v>
      </c>
    </row>
    <row r="14" spans="1:11" ht="13.5">
      <c r="A14" s="1" t="s">
        <v>524</v>
      </c>
      <c r="C14" s="18">
        <v>85409</v>
      </c>
      <c r="D14" s="26"/>
      <c r="E14" s="18">
        <v>30145</v>
      </c>
      <c r="F14" s="18"/>
      <c r="G14" s="18">
        <f>+C14+E14</f>
        <v>115554</v>
      </c>
      <c r="H14" s="18"/>
      <c r="I14" s="18">
        <v>17672</v>
      </c>
      <c r="J14" s="18"/>
      <c r="K14" s="18">
        <f>+G14+I14</f>
        <v>133226</v>
      </c>
    </row>
    <row r="15" spans="1:11" ht="13.5">
      <c r="A15" s="1" t="s">
        <v>469</v>
      </c>
      <c r="C15" s="171">
        <v>-25454</v>
      </c>
      <c r="D15" s="26"/>
      <c r="E15" s="18">
        <v>-7896</v>
      </c>
      <c r="G15" s="18">
        <f>+C15+E15</f>
        <v>-33350</v>
      </c>
      <c r="H15" s="18"/>
      <c r="I15" s="18">
        <v>8</v>
      </c>
      <c r="J15" s="26"/>
      <c r="K15" s="18">
        <f>+G15+I15</f>
        <v>-33342</v>
      </c>
    </row>
    <row r="16" spans="4:10" ht="13.5">
      <c r="D16" s="26"/>
      <c r="H16" s="18"/>
      <c r="J16" s="26"/>
    </row>
    <row r="17" spans="1:11" ht="13.5">
      <c r="A17" s="1" t="s">
        <v>342</v>
      </c>
      <c r="C17" s="30">
        <f>+C9+C10-C12-C13-C14-C15</f>
        <v>161598</v>
      </c>
      <c r="D17" s="26"/>
      <c r="E17" s="30">
        <f>+E9+E10-E12-E13-E14-E15</f>
        <v>-76287</v>
      </c>
      <c r="G17" s="30">
        <f>+G9+G10-G12-G13-G14-G15</f>
        <v>85311</v>
      </c>
      <c r="H17" s="18"/>
      <c r="I17" s="30">
        <f>+I9+I10-I12-I13-I14-I15</f>
        <v>19504</v>
      </c>
      <c r="J17" s="26"/>
      <c r="K17" s="30">
        <f>+K9+K10-K12-K13-K14-K15</f>
        <v>104815</v>
      </c>
    </row>
    <row r="18" spans="4:10" ht="13.5">
      <c r="D18" s="26"/>
      <c r="H18" s="18"/>
      <c r="J18" s="26"/>
    </row>
    <row r="19" spans="1:10" ht="15">
      <c r="A19" s="9" t="s">
        <v>418</v>
      </c>
      <c r="H19" s="18"/>
      <c r="J19" s="26"/>
    </row>
    <row r="20" spans="1:11" ht="13.5">
      <c r="A20" s="1" t="s">
        <v>404</v>
      </c>
      <c r="C20" s="31">
        <v>0</v>
      </c>
      <c r="D20" s="31"/>
      <c r="E20" s="26">
        <v>151584</v>
      </c>
      <c r="G20" s="26">
        <f>+C20+E20</f>
        <v>151584</v>
      </c>
      <c r="H20" s="18"/>
      <c r="I20" s="26">
        <v>69094</v>
      </c>
      <c r="J20" s="26"/>
      <c r="K20" s="26">
        <f>+G20+I20</f>
        <v>220678</v>
      </c>
    </row>
    <row r="21" spans="1:11" ht="13.5">
      <c r="A21" s="1" t="s">
        <v>405</v>
      </c>
      <c r="C21" s="31">
        <v>0</v>
      </c>
      <c r="E21" s="26">
        <v>143825</v>
      </c>
      <c r="G21" s="26">
        <f>+C21+E21</f>
        <v>143825</v>
      </c>
      <c r="H21" s="26"/>
      <c r="I21" s="26">
        <v>43779</v>
      </c>
      <c r="J21" s="26"/>
      <c r="K21" s="26">
        <f>+G21+I21</f>
        <v>187604</v>
      </c>
    </row>
    <row r="22" ht="6.75" customHeight="1">
      <c r="J22" s="26"/>
    </row>
    <row r="23" spans="1:11" ht="13.5">
      <c r="A23" s="1" t="s">
        <v>406</v>
      </c>
      <c r="C23" s="31">
        <v>0</v>
      </c>
      <c r="E23" s="26">
        <v>144314</v>
      </c>
      <c r="G23" s="26">
        <f>+C23+E23</f>
        <v>144314</v>
      </c>
      <c r="H23" s="26"/>
      <c r="I23" s="26">
        <v>42605</v>
      </c>
      <c r="J23" s="26"/>
      <c r="K23" s="26">
        <f>+G23+I23</f>
        <v>186919</v>
      </c>
    </row>
    <row r="24" spans="1:11" ht="13.5">
      <c r="A24" s="1" t="s">
        <v>395</v>
      </c>
      <c r="C24" s="18">
        <v>0</v>
      </c>
      <c r="E24" s="18">
        <v>0</v>
      </c>
      <c r="G24" s="18">
        <f>+C24+E24</f>
        <v>0</v>
      </c>
      <c r="H24" s="18"/>
      <c r="I24" s="18">
        <v>0</v>
      </c>
      <c r="J24" s="26"/>
      <c r="K24" s="18">
        <f>+G24+I24</f>
        <v>0</v>
      </c>
    </row>
    <row r="25" spans="5:11" ht="6.75" customHeight="1">
      <c r="E25" s="18"/>
      <c r="G25" s="18"/>
      <c r="H25" s="18"/>
      <c r="I25" s="18"/>
      <c r="J25" s="26"/>
      <c r="K25" s="18"/>
    </row>
    <row r="26" spans="1:11" ht="13.5">
      <c r="A26" s="1" t="s">
        <v>129</v>
      </c>
      <c r="C26" s="18">
        <v>0</v>
      </c>
      <c r="E26" s="18">
        <v>157661</v>
      </c>
      <c r="G26" s="18">
        <f>+C26+E26</f>
        <v>157661</v>
      </c>
      <c r="H26" s="18"/>
      <c r="I26" s="18">
        <v>41475</v>
      </c>
      <c r="J26" s="26"/>
      <c r="K26" s="18">
        <f>+G26+I26</f>
        <v>199136</v>
      </c>
    </row>
    <row r="27" spans="1:11" ht="13.5">
      <c r="A27" s="1" t="s">
        <v>397</v>
      </c>
      <c r="C27" s="18">
        <v>0</v>
      </c>
      <c r="E27" s="18">
        <v>7116</v>
      </c>
      <c r="G27" s="18">
        <f>+C27+E27</f>
        <v>7116</v>
      </c>
      <c r="H27" s="18"/>
      <c r="I27" s="18">
        <v>0</v>
      </c>
      <c r="J27" s="26"/>
      <c r="K27" s="18">
        <f>+G27+I27</f>
        <v>7116</v>
      </c>
    </row>
    <row r="28" spans="1:11" ht="13.5">
      <c r="A28" s="1" t="s">
        <v>524</v>
      </c>
      <c r="C28" s="18">
        <v>0</v>
      </c>
      <c r="E28" s="18">
        <v>2233</v>
      </c>
      <c r="G28" s="18">
        <f>+C28+E28</f>
        <v>2233</v>
      </c>
      <c r="H28" s="18"/>
      <c r="I28" s="18">
        <v>404</v>
      </c>
      <c r="J28" s="26"/>
      <c r="K28" s="18">
        <f>+G28+I28</f>
        <v>2637</v>
      </c>
    </row>
    <row r="29" spans="7:11" ht="6.75" customHeight="1">
      <c r="G29" s="18"/>
      <c r="H29" s="18"/>
      <c r="J29" s="26"/>
      <c r="K29" s="18"/>
    </row>
    <row r="30" spans="1:11" ht="13.5">
      <c r="A30" s="1" t="s">
        <v>401</v>
      </c>
      <c r="C30" s="18">
        <v>0</v>
      </c>
      <c r="D30" s="18"/>
      <c r="E30" s="18">
        <v>32845</v>
      </c>
      <c r="G30" s="18">
        <f>+C30+E30</f>
        <v>32845</v>
      </c>
      <c r="H30" s="89"/>
      <c r="I30" s="18">
        <v>0</v>
      </c>
      <c r="J30" s="26"/>
      <c r="K30" s="18">
        <f>+G30+I30</f>
        <v>32845</v>
      </c>
    </row>
    <row r="31" spans="1:11" ht="13.5">
      <c r="A31" s="1" t="s">
        <v>417</v>
      </c>
      <c r="C31" s="30">
        <f>+C23-C26-C27-C28+C30+C24</f>
        <v>0</v>
      </c>
      <c r="E31" s="30">
        <f>+E23-E26-E27-E28+E30+E24</f>
        <v>10149</v>
      </c>
      <c r="G31" s="30">
        <f>+G23-G26-G27-G28+G30+G24</f>
        <v>10149</v>
      </c>
      <c r="H31" s="17"/>
      <c r="I31" s="30">
        <f>+I23-I26-I27-I28+I30+I24</f>
        <v>726</v>
      </c>
      <c r="J31" s="26"/>
      <c r="K31" s="30">
        <f>+K23-K26-K27-K28+K30+K24</f>
        <v>10875</v>
      </c>
    </row>
    <row r="32" spans="8:10" ht="13.5">
      <c r="H32" s="56"/>
      <c r="J32" s="26"/>
    </row>
    <row r="33" spans="1:11" ht="13.5">
      <c r="A33" s="1" t="s">
        <v>376</v>
      </c>
      <c r="J33" s="26"/>
      <c r="K33" s="23">
        <v>168505</v>
      </c>
    </row>
    <row r="34" spans="1:10" ht="13.5">
      <c r="A34" s="1" t="s">
        <v>465</v>
      </c>
      <c r="B34" s="24"/>
      <c r="J34" s="26"/>
    </row>
    <row r="35" spans="1:11" ht="13.5">
      <c r="A35" s="1" t="s">
        <v>463</v>
      </c>
      <c r="B35" s="24"/>
      <c r="J35" s="26"/>
      <c r="K35" s="23"/>
    </row>
    <row r="36" spans="1:11" ht="13.5">
      <c r="A36" s="1" t="s">
        <v>464</v>
      </c>
      <c r="B36" s="24"/>
      <c r="J36" s="26"/>
      <c r="K36" s="23">
        <f>24948-46635</f>
        <v>-21687</v>
      </c>
    </row>
    <row r="37" spans="1:10" ht="13.5">
      <c r="A37" s="1" t="s">
        <v>203</v>
      </c>
      <c r="B37" s="24"/>
      <c r="J37" s="26"/>
    </row>
    <row r="38" spans="1:11" ht="13.5">
      <c r="A38" s="1" t="s">
        <v>3</v>
      </c>
      <c r="B38" s="24"/>
      <c r="J38" s="26"/>
      <c r="K38" s="23"/>
    </row>
    <row r="39" spans="1:11" ht="13.5">
      <c r="A39" s="1" t="s">
        <v>467</v>
      </c>
      <c r="B39" s="24"/>
      <c r="J39" s="26"/>
      <c r="K39" s="23">
        <f>26522-16023</f>
        <v>10499</v>
      </c>
    </row>
    <row r="40" spans="1:11" ht="13.5">
      <c r="A40" s="1" t="s">
        <v>525</v>
      </c>
      <c r="B40" s="24"/>
      <c r="J40" s="26"/>
      <c r="K40" s="23">
        <v>44070</v>
      </c>
    </row>
    <row r="41" spans="1:11" ht="13.5">
      <c r="A41" s="1" t="s">
        <v>482</v>
      </c>
      <c r="J41" s="26"/>
      <c r="K41" s="23">
        <f>34510+4687+6843-38493</f>
        <v>7547</v>
      </c>
    </row>
    <row r="42" spans="1:11" ht="14.25" thickBot="1">
      <c r="A42" s="14" t="s">
        <v>386</v>
      </c>
      <c r="J42" s="26"/>
      <c r="K42" s="35">
        <f>+K31+K33+K36+K39-K40-K41+K17</f>
        <v>221390</v>
      </c>
    </row>
    <row r="43" spans="10:11" ht="14.25" thickTop="1">
      <c r="J43" s="26"/>
      <c r="K43" s="23"/>
    </row>
    <row r="44" spans="1:11" ht="13.5">
      <c r="A44" s="14" t="s">
        <v>527</v>
      </c>
      <c r="J44" s="26"/>
      <c r="K44" s="23"/>
    </row>
    <row r="45" spans="1:10" ht="13.5">
      <c r="A45" s="1" t="s">
        <v>343</v>
      </c>
      <c r="C45" s="32">
        <f>+C12/C9</f>
        <v>0.5689382410643763</v>
      </c>
      <c r="D45" s="32"/>
      <c r="E45" s="32">
        <f>+E12/E9</f>
        <v>0.8516293093940246</v>
      </c>
      <c r="G45" s="32">
        <f>+G12/G9</f>
        <v>0.6896787604507186</v>
      </c>
      <c r="H45" s="32"/>
      <c r="J45" s="26"/>
    </row>
    <row r="46" spans="1:10" ht="13.5">
      <c r="A46" s="1" t="s">
        <v>494</v>
      </c>
      <c r="C46" s="32">
        <f>+(C14+C13)/C9</f>
        <v>0.2890900962877003</v>
      </c>
      <c r="D46" s="32"/>
      <c r="E46" s="32">
        <f>+(E14+E13)/E9-0.001</f>
        <v>0.2755515216570691</v>
      </c>
      <c r="G46" s="32">
        <f>+(G14+G13)/G9-0.001</f>
        <v>0.2827347307212812</v>
      </c>
      <c r="H46" s="32"/>
      <c r="J46" s="26"/>
    </row>
    <row r="47" spans="1:10" ht="14.25" thickBot="1">
      <c r="A47" s="1" t="s">
        <v>346</v>
      </c>
      <c r="C47" s="39">
        <f>+C45+C46</f>
        <v>0.8580283373520766</v>
      </c>
      <c r="D47" s="40"/>
      <c r="E47" s="39">
        <f>+E45+E46+0.001</f>
        <v>1.1281808310510937</v>
      </c>
      <c r="G47" s="39">
        <f>+G45+G46+0.001</f>
        <v>0.9734134911719998</v>
      </c>
      <c r="H47" s="40"/>
      <c r="J47" s="26"/>
    </row>
    <row r="48" ht="14.25" thickTop="1">
      <c r="J48" s="26"/>
    </row>
    <row r="49" spans="1:10" ht="13.5">
      <c r="A49" s="14" t="s">
        <v>347</v>
      </c>
      <c r="J49" s="26"/>
    </row>
    <row r="50" spans="1:10" ht="13.5">
      <c r="A50" s="1" t="s">
        <v>526</v>
      </c>
      <c r="J50" s="26"/>
    </row>
    <row r="51" spans="1:11" ht="13.5">
      <c r="A51" s="332" t="s">
        <v>543</v>
      </c>
      <c r="B51" s="332"/>
      <c r="C51" s="332"/>
      <c r="D51" s="332"/>
      <c r="E51" s="332"/>
      <c r="F51" s="332"/>
      <c r="G51" s="332"/>
      <c r="H51" s="332"/>
      <c r="I51" s="332"/>
      <c r="J51" s="332"/>
      <c r="K51" s="332"/>
    </row>
    <row r="52" spans="1:11" ht="13.5">
      <c r="A52" s="332"/>
      <c r="B52" s="332"/>
      <c r="C52" s="332"/>
      <c r="D52" s="332"/>
      <c r="E52" s="332"/>
      <c r="F52" s="332"/>
      <c r="G52" s="332"/>
      <c r="H52" s="332"/>
      <c r="I52" s="332"/>
      <c r="J52" s="332"/>
      <c r="K52" s="332"/>
    </row>
    <row r="53" spans="1:11" ht="14.25" customHeight="1">
      <c r="A53" s="335" t="s">
        <v>130</v>
      </c>
      <c r="B53" s="335"/>
      <c r="C53" s="335"/>
      <c r="D53" s="335"/>
      <c r="E53" s="335"/>
      <c r="F53" s="335"/>
      <c r="G53" s="335"/>
      <c r="H53" s="335"/>
      <c r="I53" s="335"/>
      <c r="J53" s="335"/>
      <c r="K53" s="335"/>
    </row>
    <row r="54" spans="1:11" ht="13.5">
      <c r="A54" s="335"/>
      <c r="B54" s="335"/>
      <c r="C54" s="335"/>
      <c r="D54" s="335"/>
      <c r="E54" s="335"/>
      <c r="F54" s="335"/>
      <c r="G54" s="335"/>
      <c r="H54" s="335"/>
      <c r="I54" s="335"/>
      <c r="J54" s="335"/>
      <c r="K54" s="335"/>
    </row>
    <row r="55" ht="13.5">
      <c r="J55" s="26"/>
    </row>
    <row r="56" ht="13.5">
      <c r="J56" s="26"/>
    </row>
    <row r="57" ht="13.5">
      <c r="J57" s="26"/>
    </row>
    <row r="58" ht="13.5">
      <c r="J58" s="26"/>
    </row>
    <row r="59" ht="13.5">
      <c r="J59" s="26"/>
    </row>
    <row r="60" ht="13.5">
      <c r="J60" s="26"/>
    </row>
    <row r="61" ht="13.5">
      <c r="J61" s="26"/>
    </row>
    <row r="62" ht="13.5">
      <c r="J62" s="26"/>
    </row>
    <row r="63" ht="13.5">
      <c r="J63" s="26"/>
    </row>
    <row r="64" ht="13.5">
      <c r="J64" s="26"/>
    </row>
    <row r="65" ht="13.5">
      <c r="J65" s="26"/>
    </row>
    <row r="66" ht="13.5">
      <c r="J66" s="26"/>
    </row>
    <row r="67" ht="13.5">
      <c r="J67" s="26"/>
    </row>
    <row r="68" ht="13.5">
      <c r="J68" s="26"/>
    </row>
    <row r="69" ht="13.5">
      <c r="J69" s="26"/>
    </row>
    <row r="70" ht="13.5">
      <c r="J70" s="26"/>
    </row>
    <row r="71" ht="13.5">
      <c r="J71" s="26"/>
    </row>
  </sheetData>
  <mergeCells count="2">
    <mergeCell ref="A51:K52"/>
    <mergeCell ref="A53:K54"/>
  </mergeCells>
  <printOptions horizontalCentered="1" verticalCentered="1"/>
  <pageMargins left="0.75" right="0.75" top="1.2" bottom="0.6" header="0.5" footer="0.5"/>
  <pageSetup horizontalDpi="600" verticalDpi="600" orientation="landscape" scale="66" r:id="rId2"/>
  <headerFooter alignWithMargins="0">
    <oddHeader>&amp;L&amp;G&amp;C&amp;"Optima,Bold"&amp;18SEGMENT INFORMATION
&amp;16FOR THE QUARTER ENDED DECEMBER 31, 2002
&amp;"Optima,Regular"&amp;12(U.S. dollars in thousands)
(Unaudited)</oddHeader>
    <oddFooter>&amp;C&amp;"Optima,Regular"11</oddFooter>
  </headerFooter>
  <legacyDrawingHF r:id="rId1"/>
</worksheet>
</file>

<file path=xl/worksheets/sheet17.xml><?xml version="1.0" encoding="utf-8"?>
<worksheet xmlns="http://schemas.openxmlformats.org/spreadsheetml/2006/main" xmlns:r="http://schemas.openxmlformats.org/officeDocument/2006/relationships">
  <sheetPr codeName="Sheet12"/>
  <dimension ref="A1:K56"/>
  <sheetViews>
    <sheetView workbookViewId="0" topLeftCell="A31">
      <selection activeCell="A57" sqref="A57"/>
    </sheetView>
  </sheetViews>
  <sheetFormatPr defaultColWidth="9.140625" defaultRowHeight="12.75"/>
  <cols>
    <col min="1" max="1" width="4.140625" style="76" customWidth="1"/>
    <col min="2" max="2" width="28.00390625" style="1" customWidth="1"/>
    <col min="3" max="3" width="16.7109375" style="1" customWidth="1"/>
    <col min="4" max="4" width="3.8515625" style="1" customWidth="1"/>
    <col min="5" max="5" width="16.7109375" style="1" customWidth="1"/>
    <col min="6" max="6" width="3.8515625" style="1" customWidth="1"/>
    <col min="7" max="7" width="16.7109375" style="1" customWidth="1"/>
    <col min="8" max="8" width="3.8515625" style="1" customWidth="1"/>
    <col min="9" max="9" width="16.7109375" style="1" customWidth="1"/>
    <col min="10" max="10" width="3.421875" style="1" customWidth="1"/>
    <col min="11" max="11" width="14.7109375" style="1" customWidth="1"/>
    <col min="12" max="16384" width="9.140625" style="1" customWidth="1"/>
  </cols>
  <sheetData>
    <row r="1" spans="3:11" ht="15">
      <c r="C1" s="2"/>
      <c r="D1" s="2"/>
      <c r="E1" s="2"/>
      <c r="F1" s="2"/>
      <c r="G1" s="21" t="s">
        <v>389</v>
      </c>
      <c r="H1" s="21"/>
      <c r="I1" s="21" t="s">
        <v>391</v>
      </c>
      <c r="J1" s="21"/>
      <c r="K1" s="2"/>
    </row>
    <row r="2" spans="3:11" ht="15">
      <c r="C2" s="2"/>
      <c r="D2" s="2"/>
      <c r="E2" s="2"/>
      <c r="F2" s="2"/>
      <c r="G2" s="21" t="s">
        <v>390</v>
      </c>
      <c r="H2" s="21"/>
      <c r="I2" s="21" t="s">
        <v>392</v>
      </c>
      <c r="J2" s="21"/>
      <c r="K2" s="2"/>
    </row>
    <row r="3" spans="3:11" ht="15">
      <c r="C3" s="21" t="s">
        <v>387</v>
      </c>
      <c r="D3" s="21"/>
      <c r="E3" s="21" t="s">
        <v>388</v>
      </c>
      <c r="F3" s="21"/>
      <c r="G3" s="21" t="s">
        <v>388</v>
      </c>
      <c r="H3" s="21"/>
      <c r="I3" s="21" t="s">
        <v>393</v>
      </c>
      <c r="J3" s="21"/>
      <c r="K3" s="21" t="s">
        <v>394</v>
      </c>
    </row>
    <row r="4" spans="3:11" ht="15">
      <c r="C4" s="36"/>
      <c r="D4" s="21"/>
      <c r="E4" s="21"/>
      <c r="F4" s="21"/>
      <c r="G4" s="21"/>
      <c r="H4" s="21"/>
      <c r="I4" s="36" t="s">
        <v>204</v>
      </c>
      <c r="J4" s="21"/>
      <c r="K4" s="21"/>
    </row>
    <row r="5" ht="15">
      <c r="A5" s="77" t="s">
        <v>205</v>
      </c>
    </row>
    <row r="6" spans="1:11" ht="13.5">
      <c r="A6" s="76" t="s">
        <v>404</v>
      </c>
      <c r="C6" s="26">
        <v>1450386</v>
      </c>
      <c r="D6" s="26"/>
      <c r="E6" s="26">
        <v>1289489</v>
      </c>
      <c r="F6" s="26"/>
      <c r="G6" s="26">
        <f>+E6+C6</f>
        <v>2739875</v>
      </c>
      <c r="H6" s="26"/>
      <c r="I6" s="26">
        <v>26273</v>
      </c>
      <c r="J6" s="26"/>
      <c r="K6" s="26">
        <f>+G6+I6</f>
        <v>2766148</v>
      </c>
    </row>
    <row r="7" spans="1:11" ht="13.5">
      <c r="A7" s="76" t="s">
        <v>405</v>
      </c>
      <c r="C7" s="26">
        <v>1051867</v>
      </c>
      <c r="D7" s="26"/>
      <c r="E7" s="26">
        <v>1046356</v>
      </c>
      <c r="F7" s="26"/>
      <c r="G7" s="26">
        <f>+E7+C7</f>
        <v>2098223</v>
      </c>
      <c r="H7" s="26"/>
      <c r="I7" s="26">
        <v>23662</v>
      </c>
      <c r="J7" s="26"/>
      <c r="K7" s="26">
        <f>+G7+I7</f>
        <v>2121885</v>
      </c>
    </row>
    <row r="8" ht="6.75" customHeight="1"/>
    <row r="9" spans="1:11" ht="13.5">
      <c r="A9" s="76" t="s">
        <v>406</v>
      </c>
      <c r="C9" s="26">
        <v>589801</v>
      </c>
      <c r="D9" s="26"/>
      <c r="E9" s="26">
        <v>421167</v>
      </c>
      <c r="F9" s="26"/>
      <c r="G9" s="26">
        <f>+C9+E9</f>
        <v>1010968</v>
      </c>
      <c r="H9" s="26"/>
      <c r="I9" s="26">
        <v>14554</v>
      </c>
      <c r="J9" s="26"/>
      <c r="K9" s="26">
        <f>+G9+I9</f>
        <v>1025522</v>
      </c>
    </row>
    <row r="10" spans="1:11" ht="13.5">
      <c r="A10" s="76" t="s">
        <v>395</v>
      </c>
      <c r="C10" s="18">
        <v>6545</v>
      </c>
      <c r="D10" s="18"/>
      <c r="E10" s="18">
        <v>899</v>
      </c>
      <c r="F10" s="18"/>
      <c r="G10" s="18">
        <f>+C10+E10</f>
        <v>7444</v>
      </c>
      <c r="H10" s="18"/>
      <c r="I10" s="18">
        <v>503</v>
      </c>
      <c r="J10" s="18"/>
      <c r="K10" s="18">
        <f>+G10+I10</f>
        <v>7947</v>
      </c>
    </row>
    <row r="11" spans="3:9" ht="6.75" customHeight="1">
      <c r="C11" s="18"/>
      <c r="E11" s="18"/>
      <c r="I11" s="18"/>
    </row>
    <row r="12" spans="1:11" ht="13.5">
      <c r="A12" s="76" t="s">
        <v>396</v>
      </c>
      <c r="C12" s="18">
        <v>374586</v>
      </c>
      <c r="D12" s="18"/>
      <c r="E12" s="18">
        <v>264632</v>
      </c>
      <c r="F12" s="18"/>
      <c r="G12" s="18">
        <f>+C12+E12</f>
        <v>639218</v>
      </c>
      <c r="I12" s="18">
        <v>3080</v>
      </c>
      <c r="J12" s="18"/>
      <c r="K12" s="18">
        <f>+G12+I12</f>
        <v>642298</v>
      </c>
    </row>
    <row r="13" spans="1:11" ht="13.5">
      <c r="A13" s="76" t="s">
        <v>397</v>
      </c>
      <c r="C13" s="18">
        <v>91965</v>
      </c>
      <c r="D13" s="18"/>
      <c r="E13" s="18">
        <v>92214</v>
      </c>
      <c r="F13" s="18"/>
      <c r="G13" s="18">
        <f>+C13+E13</f>
        <v>184179</v>
      </c>
      <c r="I13" s="18">
        <v>958</v>
      </c>
      <c r="J13" s="18"/>
      <c r="K13" s="18">
        <f>+G13+I13</f>
        <v>185137</v>
      </c>
    </row>
    <row r="14" spans="1:11" ht="13.5">
      <c r="A14" s="76" t="s">
        <v>524</v>
      </c>
      <c r="C14" s="18">
        <v>88973</v>
      </c>
      <c r="D14" s="18"/>
      <c r="E14" s="18">
        <v>18686</v>
      </c>
      <c r="F14" s="18"/>
      <c r="G14" s="18">
        <f>+C14+E14</f>
        <v>107659</v>
      </c>
      <c r="I14" s="18">
        <v>14990</v>
      </c>
      <c r="J14" s="18"/>
      <c r="K14" s="18">
        <f>+G14+I14</f>
        <v>122649</v>
      </c>
    </row>
    <row r="15" spans="1:11" ht="13.5">
      <c r="A15" s="76" t="s">
        <v>469</v>
      </c>
      <c r="C15" s="18">
        <v>-2112</v>
      </c>
      <c r="D15" s="26"/>
      <c r="E15" s="18">
        <v>-6252</v>
      </c>
      <c r="G15" s="18">
        <f>+C15+E15</f>
        <v>-8364</v>
      </c>
      <c r="I15" s="18">
        <v>0</v>
      </c>
      <c r="J15" s="26"/>
      <c r="K15" s="18">
        <f>+G15+I15</f>
        <v>-8364</v>
      </c>
    </row>
    <row r="16" spans="4:10" ht="13.5">
      <c r="D16" s="26"/>
      <c r="J16" s="26"/>
    </row>
    <row r="17" spans="1:11" ht="13.5">
      <c r="A17" s="76" t="s">
        <v>342</v>
      </c>
      <c r="C17" s="30">
        <f>+C9+C10-C12-C13-C14-C15</f>
        <v>42934</v>
      </c>
      <c r="D17" s="26"/>
      <c r="E17" s="30">
        <f>+E9+E10-E12-E13-E14-E15</f>
        <v>52786</v>
      </c>
      <c r="G17" s="30">
        <f>+G9+G10-G12-G13-G14-G15</f>
        <v>95720</v>
      </c>
      <c r="I17" s="30">
        <f>+I9+I10-I12-I13-I14-I15</f>
        <v>-3971</v>
      </c>
      <c r="J17" s="26"/>
      <c r="K17" s="30">
        <f>+K9+K10-K12-K13-K14-K15</f>
        <v>91749</v>
      </c>
    </row>
    <row r="18" spans="4:10" ht="13.5">
      <c r="D18" s="26"/>
      <c r="J18" s="26"/>
    </row>
    <row r="19" spans="1:10" ht="15">
      <c r="A19" s="77" t="s">
        <v>418</v>
      </c>
      <c r="D19" s="26"/>
      <c r="J19" s="26"/>
    </row>
    <row r="20" spans="1:11" ht="13.5">
      <c r="A20" s="76" t="s">
        <v>404</v>
      </c>
      <c r="C20" s="26">
        <v>0</v>
      </c>
      <c r="D20" s="26"/>
      <c r="E20" s="26">
        <v>38528</v>
      </c>
      <c r="G20" s="26">
        <f>+C20+E20</f>
        <v>38528</v>
      </c>
      <c r="I20" s="26">
        <v>0</v>
      </c>
      <c r="J20" s="26"/>
      <c r="K20" s="26">
        <f>+G20+I20</f>
        <v>38528</v>
      </c>
    </row>
    <row r="21" spans="1:11" ht="13.5">
      <c r="A21" s="76" t="s">
        <v>405</v>
      </c>
      <c r="C21" s="26">
        <v>0</v>
      </c>
      <c r="D21" s="26"/>
      <c r="E21" s="26">
        <v>36968</v>
      </c>
      <c r="G21" s="26">
        <f>+C21+E21</f>
        <v>36968</v>
      </c>
      <c r="I21" s="26">
        <v>0</v>
      </c>
      <c r="J21" s="26"/>
      <c r="K21" s="26">
        <f>+G21+I21</f>
        <v>36968</v>
      </c>
    </row>
    <row r="22" ht="6.75" customHeight="1"/>
    <row r="23" spans="1:11" ht="13.5">
      <c r="A23" s="76" t="s">
        <v>406</v>
      </c>
      <c r="C23" s="26">
        <v>0</v>
      </c>
      <c r="D23" s="26"/>
      <c r="E23" s="26">
        <v>39193</v>
      </c>
      <c r="G23" s="26">
        <f>+C23+E23</f>
        <v>39193</v>
      </c>
      <c r="I23" s="26">
        <v>0</v>
      </c>
      <c r="J23" s="26"/>
      <c r="K23" s="26">
        <f>+G23+I23</f>
        <v>39193</v>
      </c>
    </row>
    <row r="24" spans="1:11" ht="13.5">
      <c r="A24" s="76" t="s">
        <v>395</v>
      </c>
      <c r="C24" s="18">
        <v>0</v>
      </c>
      <c r="D24" s="26"/>
      <c r="E24" s="18">
        <v>2</v>
      </c>
      <c r="G24" s="18">
        <f aca="true" t="shared" si="0" ref="G24:G30">+C24+E24</f>
        <v>2</v>
      </c>
      <c r="I24" s="18">
        <v>0</v>
      </c>
      <c r="J24" s="26"/>
      <c r="K24" s="18">
        <f aca="true" t="shared" si="1" ref="K24:K30">+G24+I24</f>
        <v>2</v>
      </c>
    </row>
    <row r="25" ht="6.75" customHeight="1">
      <c r="E25" s="18"/>
    </row>
    <row r="26" spans="1:11" ht="13.5">
      <c r="A26" s="76" t="s">
        <v>129</v>
      </c>
      <c r="C26" s="18">
        <v>0</v>
      </c>
      <c r="D26" s="26"/>
      <c r="E26" s="18">
        <v>47763</v>
      </c>
      <c r="G26" s="18">
        <f t="shared" si="0"/>
        <v>47763</v>
      </c>
      <c r="I26" s="18">
        <v>0</v>
      </c>
      <c r="J26" s="26"/>
      <c r="K26" s="18">
        <f t="shared" si="1"/>
        <v>47763</v>
      </c>
    </row>
    <row r="27" spans="1:11" ht="13.5">
      <c r="A27" s="76" t="s">
        <v>397</v>
      </c>
      <c r="C27" s="18">
        <v>0</v>
      </c>
      <c r="D27" s="26"/>
      <c r="E27" s="18">
        <v>595</v>
      </c>
      <c r="G27" s="18">
        <f t="shared" si="0"/>
        <v>595</v>
      </c>
      <c r="I27" s="18">
        <v>0</v>
      </c>
      <c r="J27" s="26"/>
      <c r="K27" s="18">
        <f t="shared" si="1"/>
        <v>595</v>
      </c>
    </row>
    <row r="28" spans="1:11" ht="13.5">
      <c r="A28" s="76" t="s">
        <v>524</v>
      </c>
      <c r="C28" s="18">
        <v>0</v>
      </c>
      <c r="D28" s="26"/>
      <c r="E28" s="18">
        <v>1083</v>
      </c>
      <c r="G28" s="18">
        <f t="shared" si="0"/>
        <v>1083</v>
      </c>
      <c r="I28" s="18">
        <v>0</v>
      </c>
      <c r="J28" s="26"/>
      <c r="K28" s="18">
        <f t="shared" si="1"/>
        <v>1083</v>
      </c>
    </row>
    <row r="29" spans="4:11" ht="6.75" customHeight="1">
      <c r="D29" s="26"/>
      <c r="G29" s="18"/>
      <c r="J29" s="26"/>
      <c r="K29" s="18"/>
    </row>
    <row r="30" spans="1:11" ht="13.5">
      <c r="A30" s="76" t="s">
        <v>401</v>
      </c>
      <c r="C30" s="18">
        <v>0</v>
      </c>
      <c r="D30" s="26"/>
      <c r="E30" s="18">
        <v>15518</v>
      </c>
      <c r="G30" s="18">
        <f t="shared" si="0"/>
        <v>15518</v>
      </c>
      <c r="I30" s="18">
        <v>0</v>
      </c>
      <c r="J30" s="26"/>
      <c r="K30" s="18">
        <f t="shared" si="1"/>
        <v>15518</v>
      </c>
    </row>
    <row r="31" spans="1:11" ht="13.5">
      <c r="A31" s="76" t="s">
        <v>417</v>
      </c>
      <c r="C31" s="30">
        <f>+C23-C26-C27-C28+C30+C24</f>
        <v>0</v>
      </c>
      <c r="D31" s="26"/>
      <c r="E31" s="30">
        <f>+E23-E26-E27-E28+E30+E24</f>
        <v>5272</v>
      </c>
      <c r="G31" s="30">
        <f>+G23-G26-G27-G28+G30+G24</f>
        <v>5272</v>
      </c>
      <c r="I31" s="30">
        <f>+I23-I26-I27-I28+I30+I24</f>
        <v>0</v>
      </c>
      <c r="J31" s="26"/>
      <c r="K31" s="30">
        <f>+K23-K26-K27-K28+K30+K24</f>
        <v>5272</v>
      </c>
    </row>
    <row r="32" spans="4:10" ht="13.5">
      <c r="D32" s="26"/>
      <c r="J32" s="26"/>
    </row>
    <row r="33" spans="1:11" ht="13.5">
      <c r="A33" s="76" t="s">
        <v>376</v>
      </c>
      <c r="J33" s="26"/>
      <c r="K33" s="23">
        <v>155609</v>
      </c>
    </row>
    <row r="34" spans="1:10" ht="13.5">
      <c r="A34" s="1" t="s">
        <v>465</v>
      </c>
      <c r="B34" s="78"/>
      <c r="J34" s="26"/>
    </row>
    <row r="35" spans="1:11" ht="13.5">
      <c r="A35" s="1" t="s">
        <v>463</v>
      </c>
      <c r="B35" s="78"/>
      <c r="J35" s="26"/>
      <c r="K35" s="23"/>
    </row>
    <row r="36" spans="1:11" ht="13.5">
      <c r="A36" s="1" t="s">
        <v>464</v>
      </c>
      <c r="B36" s="78"/>
      <c r="J36" s="26"/>
      <c r="K36" s="23">
        <f>-106020-9476</f>
        <v>-115496</v>
      </c>
    </row>
    <row r="37" spans="1:10" ht="13.5">
      <c r="A37" s="1" t="s">
        <v>466</v>
      </c>
      <c r="B37" s="78"/>
      <c r="J37" s="26"/>
    </row>
    <row r="38" spans="1:11" ht="13.5">
      <c r="A38" s="1" t="s">
        <v>3</v>
      </c>
      <c r="B38" s="78"/>
      <c r="J38" s="26"/>
      <c r="K38" s="23"/>
    </row>
    <row r="39" spans="1:11" ht="13.5">
      <c r="A39" s="1" t="s">
        <v>467</v>
      </c>
      <c r="B39" s="78"/>
      <c r="J39" s="26"/>
      <c r="K39" s="23">
        <f>32185+32</f>
        <v>32217</v>
      </c>
    </row>
    <row r="40" spans="1:11" ht="13.5">
      <c r="A40" s="1" t="s">
        <v>525</v>
      </c>
      <c r="B40" s="78"/>
      <c r="J40" s="26"/>
      <c r="K40" s="23">
        <v>21413</v>
      </c>
    </row>
    <row r="41" spans="1:11" ht="13.5">
      <c r="A41" s="76" t="s">
        <v>482</v>
      </c>
      <c r="J41" s="26"/>
      <c r="K41" s="23">
        <v>58445</v>
      </c>
    </row>
    <row r="42" spans="1:11" ht="14.25" thickBot="1">
      <c r="A42" s="72" t="s">
        <v>386</v>
      </c>
      <c r="J42" s="26"/>
      <c r="K42" s="35">
        <f>+K31+K33+K36+K39-K40-K41+K17</f>
        <v>89493</v>
      </c>
    </row>
    <row r="43" spans="10:11" ht="14.25" thickTop="1">
      <c r="J43" s="26"/>
      <c r="K43" s="23"/>
    </row>
    <row r="44" spans="1:11" ht="13.5">
      <c r="A44" s="72" t="s">
        <v>527</v>
      </c>
      <c r="J44" s="26"/>
      <c r="K44" s="23"/>
    </row>
    <row r="45" spans="1:10" ht="13.5">
      <c r="A45" s="76" t="s">
        <v>343</v>
      </c>
      <c r="C45" s="32">
        <f>+C12/C9</f>
        <v>0.635105739054359</v>
      </c>
      <c r="D45" s="32"/>
      <c r="E45" s="32">
        <f>+E12/E9</f>
        <v>0.6283303297741751</v>
      </c>
      <c r="G45" s="32">
        <f>+G12/G9</f>
        <v>0.6322831187535115</v>
      </c>
      <c r="H45" s="32"/>
      <c r="J45" s="26"/>
    </row>
    <row r="46" spans="1:10" ht="13.5">
      <c r="A46" s="76" t="s">
        <v>494</v>
      </c>
      <c r="C46" s="32">
        <f>+(C14+C13)/C9</f>
        <v>0.30677804886732984</v>
      </c>
      <c r="D46" s="40"/>
      <c r="E46" s="32">
        <f>+(E14+E13)/E9+0.001</f>
        <v>0.2643159767978023</v>
      </c>
      <c r="G46" s="32">
        <f>+(G14+G13)/G9</f>
        <v>0.28867184718012834</v>
      </c>
      <c r="H46" s="32"/>
      <c r="J46" s="26"/>
    </row>
    <row r="47" spans="1:10" ht="14.25" thickBot="1">
      <c r="A47" s="76" t="s">
        <v>346</v>
      </c>
      <c r="C47" s="39">
        <f>+C45+C46</f>
        <v>0.9418837879216888</v>
      </c>
      <c r="D47" s="40"/>
      <c r="E47" s="39">
        <f>+E45+E46-0.001</f>
        <v>0.8916463065719774</v>
      </c>
      <c r="G47" s="39">
        <f>+G45+G46</f>
        <v>0.9209549659336398</v>
      </c>
      <c r="H47" s="40"/>
      <c r="J47" s="26"/>
    </row>
    <row r="48" spans="4:10" ht="14.25" thickTop="1">
      <c r="D48" s="56"/>
      <c r="J48" s="26"/>
    </row>
    <row r="49" spans="1:10" ht="13.5">
      <c r="A49" s="72" t="s">
        <v>347</v>
      </c>
      <c r="J49" s="26"/>
    </row>
    <row r="50" spans="1:11" ht="13.5" customHeight="1">
      <c r="A50" s="336" t="s">
        <v>592</v>
      </c>
      <c r="B50" s="336"/>
      <c r="C50" s="336"/>
      <c r="D50" s="336"/>
      <c r="E50" s="336"/>
      <c r="F50" s="336"/>
      <c r="G50" s="336"/>
      <c r="H50" s="336"/>
      <c r="I50" s="336"/>
      <c r="J50" s="336"/>
      <c r="K50" s="336"/>
    </row>
    <row r="51" spans="1:11" ht="13.5" customHeight="1">
      <c r="A51" s="338" t="s">
        <v>543</v>
      </c>
      <c r="B51" s="338"/>
      <c r="C51" s="338"/>
      <c r="D51" s="338"/>
      <c r="E51" s="338"/>
      <c r="F51" s="338"/>
      <c r="G51" s="338"/>
      <c r="H51" s="338"/>
      <c r="I51" s="338"/>
      <c r="J51" s="338"/>
      <c r="K51" s="338"/>
    </row>
    <row r="52" spans="1:11" ht="13.5">
      <c r="A52" s="338"/>
      <c r="B52" s="338"/>
      <c r="C52" s="338"/>
      <c r="D52" s="338"/>
      <c r="E52" s="338"/>
      <c r="F52" s="338"/>
      <c r="G52" s="338"/>
      <c r="H52" s="338"/>
      <c r="I52" s="338"/>
      <c r="J52" s="338"/>
      <c r="K52" s="338"/>
    </row>
    <row r="53" spans="1:11" ht="13.5" customHeight="1">
      <c r="A53" s="332" t="s">
        <v>587</v>
      </c>
      <c r="B53" s="332"/>
      <c r="C53" s="332"/>
      <c r="D53" s="332"/>
      <c r="E53" s="332"/>
      <c r="F53" s="332"/>
      <c r="G53" s="332"/>
      <c r="H53" s="332"/>
      <c r="I53" s="332"/>
      <c r="J53" s="332"/>
      <c r="K53" s="332"/>
    </row>
    <row r="54" spans="1:11" ht="13.5">
      <c r="A54" s="332"/>
      <c r="B54" s="332"/>
      <c r="C54" s="332"/>
      <c r="D54" s="332"/>
      <c r="E54" s="332"/>
      <c r="F54" s="332"/>
      <c r="G54" s="332"/>
      <c r="H54" s="332"/>
      <c r="I54" s="332"/>
      <c r="J54" s="332"/>
      <c r="K54" s="332"/>
    </row>
    <row r="55" spans="1:11" ht="13.5">
      <c r="A55" s="335" t="s">
        <v>178</v>
      </c>
      <c r="B55" s="335"/>
      <c r="C55" s="335"/>
      <c r="D55" s="335"/>
      <c r="E55" s="335"/>
      <c r="F55" s="335"/>
      <c r="G55" s="335"/>
      <c r="H55" s="335"/>
      <c r="I55" s="335"/>
      <c r="J55" s="335"/>
      <c r="K55" s="335"/>
    </row>
    <row r="56" spans="1:11" ht="13.5">
      <c r="A56" s="335"/>
      <c r="B56" s="335"/>
      <c r="C56" s="335"/>
      <c r="D56" s="335"/>
      <c r="E56" s="335"/>
      <c r="F56" s="335"/>
      <c r="G56" s="335"/>
      <c r="H56" s="335"/>
      <c r="I56" s="335"/>
      <c r="J56" s="335"/>
      <c r="K56" s="335"/>
    </row>
  </sheetData>
  <mergeCells count="4">
    <mergeCell ref="A51:K52"/>
    <mergeCell ref="A53:K54"/>
    <mergeCell ref="A50:K50"/>
    <mergeCell ref="A55:K56"/>
  </mergeCells>
  <printOptions horizontalCentered="1" verticalCentered="1"/>
  <pageMargins left="0.75" right="0.75" top="1.12" bottom="0.6" header="0.5" footer="0.5"/>
  <pageSetup horizontalDpi="600" verticalDpi="600" orientation="landscape" scale="66" r:id="rId2"/>
  <headerFooter alignWithMargins="0">
    <oddHeader>&amp;L&amp;G&amp;C&amp;"Optima,Bold"&amp;18SEGMENT INFORMATION
&amp;16FOR THE QUARTER ENDED MARCH 31, 2002
&amp;"Optima,Regular"&amp;12(U.S. dollars in thousands)
(Unaudited)</oddHeader>
    <oddFooter>&amp;C&amp;"Optima,Regular"12</oddFooter>
  </headerFooter>
  <legacyDrawingHF r:id="rId1"/>
</worksheet>
</file>

<file path=xl/worksheets/sheet18.xml><?xml version="1.0" encoding="utf-8"?>
<worksheet xmlns="http://schemas.openxmlformats.org/spreadsheetml/2006/main" xmlns:r="http://schemas.openxmlformats.org/officeDocument/2006/relationships">
  <sheetPr codeName="Sheet13"/>
  <dimension ref="A1:K29"/>
  <sheetViews>
    <sheetView workbookViewId="0" topLeftCell="A8">
      <selection activeCell="D25" sqref="D25"/>
    </sheetView>
  </sheetViews>
  <sheetFormatPr defaultColWidth="9.140625" defaultRowHeight="12.75"/>
  <cols>
    <col min="1" max="1" width="36.7109375" style="1" customWidth="1"/>
    <col min="2" max="4" width="16.7109375" style="1" customWidth="1"/>
    <col min="5" max="5" width="4.140625" style="1" customWidth="1"/>
    <col min="6" max="8" width="16.7109375" style="1" customWidth="1"/>
    <col min="9" max="16384" width="9.140625" style="1" customWidth="1"/>
  </cols>
  <sheetData>
    <row r="1" spans="2:8" ht="15.75">
      <c r="B1" s="11"/>
      <c r="C1" s="11"/>
      <c r="D1" s="11"/>
      <c r="E1" s="11"/>
      <c r="F1" s="11"/>
      <c r="G1" s="11"/>
      <c r="H1" s="11"/>
    </row>
    <row r="2" spans="2:8" ht="15.75">
      <c r="B2" s="11"/>
      <c r="C2" s="11"/>
      <c r="D2" s="11"/>
      <c r="E2" s="11"/>
      <c r="F2" s="11"/>
      <c r="G2" s="11"/>
      <c r="H2" s="11"/>
    </row>
    <row r="3" spans="2:8" ht="15.75">
      <c r="B3" s="341" t="s">
        <v>30</v>
      </c>
      <c r="C3" s="341"/>
      <c r="D3" s="341"/>
      <c r="F3" s="341" t="s">
        <v>31</v>
      </c>
      <c r="G3" s="341"/>
      <c r="H3" s="341"/>
    </row>
    <row r="5" spans="2:8" ht="15">
      <c r="B5" s="21" t="s">
        <v>348</v>
      </c>
      <c r="C5" s="21" t="s">
        <v>514</v>
      </c>
      <c r="D5" s="21" t="s">
        <v>514</v>
      </c>
      <c r="F5" s="21" t="s">
        <v>348</v>
      </c>
      <c r="G5" s="21" t="s">
        <v>514</v>
      </c>
      <c r="H5" s="21" t="s">
        <v>514</v>
      </c>
    </row>
    <row r="6" spans="2:8" ht="15">
      <c r="B6" s="21" t="s">
        <v>349</v>
      </c>
      <c r="C6" s="21" t="s">
        <v>349</v>
      </c>
      <c r="D6" s="21" t="s">
        <v>350</v>
      </c>
      <c r="F6" s="21" t="s">
        <v>349</v>
      </c>
      <c r="G6" s="21" t="s">
        <v>349</v>
      </c>
      <c r="H6" s="21" t="s">
        <v>350</v>
      </c>
    </row>
    <row r="8" spans="2:8" ht="15">
      <c r="B8" s="21"/>
      <c r="C8" s="21"/>
      <c r="D8" s="21"/>
      <c r="F8" s="21"/>
      <c r="G8" s="21"/>
      <c r="H8" s="21"/>
    </row>
    <row r="9" spans="1:4" ht="13.5" customHeight="1">
      <c r="A9" s="9" t="s">
        <v>486</v>
      </c>
      <c r="B9" s="21"/>
      <c r="C9" s="21"/>
      <c r="D9" s="21"/>
    </row>
    <row r="10" spans="1:9" ht="13.5" customHeight="1">
      <c r="A10" s="2" t="s">
        <v>351</v>
      </c>
      <c r="B10" s="15">
        <v>775132</v>
      </c>
      <c r="C10" s="15">
        <v>574617</v>
      </c>
      <c r="D10" s="15">
        <v>437566</v>
      </c>
      <c r="E10" s="15"/>
      <c r="F10" s="15">
        <v>607496</v>
      </c>
      <c r="G10" s="15">
        <v>468189</v>
      </c>
      <c r="H10" s="15">
        <v>291898</v>
      </c>
      <c r="I10" s="2"/>
    </row>
    <row r="11" spans="1:9" ht="13.5" customHeight="1">
      <c r="A11" s="2" t="s">
        <v>352</v>
      </c>
      <c r="B11" s="16">
        <v>535724</v>
      </c>
      <c r="C11" s="16">
        <v>475297</v>
      </c>
      <c r="D11" s="16">
        <v>219678</v>
      </c>
      <c r="E11" s="16"/>
      <c r="F11" s="16">
        <v>450329</v>
      </c>
      <c r="G11" s="16">
        <v>376442</v>
      </c>
      <c r="H11" s="16">
        <v>159845</v>
      </c>
      <c r="I11" s="2"/>
    </row>
    <row r="12" spans="1:9" ht="13.5" customHeight="1">
      <c r="A12" s="2" t="s">
        <v>353</v>
      </c>
      <c r="B12" s="16">
        <v>196888</v>
      </c>
      <c r="C12" s="16">
        <v>182757</v>
      </c>
      <c r="D12" s="16">
        <v>58536</v>
      </c>
      <c r="E12" s="16"/>
      <c r="F12" s="16">
        <v>197746</v>
      </c>
      <c r="G12" s="16">
        <v>177402</v>
      </c>
      <c r="H12" s="16">
        <v>60325</v>
      </c>
      <c r="I12" s="2"/>
    </row>
    <row r="13" spans="1:9" ht="13.5" customHeight="1">
      <c r="A13" s="2" t="s">
        <v>354</v>
      </c>
      <c r="B13" s="16">
        <f>250518+373477</f>
        <v>623995</v>
      </c>
      <c r="C13" s="16">
        <f>170475+273732</f>
        <v>444207</v>
      </c>
      <c r="D13" s="16">
        <f>138726+195531</f>
        <v>334257</v>
      </c>
      <c r="E13" s="16"/>
      <c r="F13" s="16">
        <f>307308+322991</f>
        <v>630299</v>
      </c>
      <c r="G13" s="16">
        <f>164504+247353</f>
        <v>411857</v>
      </c>
      <c r="H13" s="16">
        <f>101048+141861</f>
        <v>242909</v>
      </c>
      <c r="I13" s="2"/>
    </row>
    <row r="14" spans="1:9" ht="13.5" customHeight="1">
      <c r="A14" s="2" t="s">
        <v>355</v>
      </c>
      <c r="B14" s="16">
        <f>229652+247828</f>
        <v>477480</v>
      </c>
      <c r="C14" s="16">
        <f>159516+202159</f>
        <v>361675</v>
      </c>
      <c r="D14" s="16">
        <f>93450+134750</f>
        <v>228200</v>
      </c>
      <c r="E14" s="16"/>
      <c r="F14" s="16">
        <f>164021+202816</f>
        <v>366837</v>
      </c>
      <c r="G14" s="16">
        <f>93323+134136</f>
        <v>227459</v>
      </c>
      <c r="H14" s="16">
        <f>42674+94309</f>
        <v>136983</v>
      </c>
      <c r="I14" s="2"/>
    </row>
    <row r="15" spans="1:9" ht="13.5" customHeight="1">
      <c r="A15" s="2" t="s">
        <v>531</v>
      </c>
      <c r="B15" s="16">
        <v>49946</v>
      </c>
      <c r="C15" s="16">
        <v>45956</v>
      </c>
      <c r="D15" s="16">
        <v>24330</v>
      </c>
      <c r="E15" s="16"/>
      <c r="F15" s="16">
        <v>131184</v>
      </c>
      <c r="G15" s="16">
        <v>109506</v>
      </c>
      <c r="H15" s="16">
        <v>13818</v>
      </c>
      <c r="I15" s="2"/>
    </row>
    <row r="16" spans="1:9" ht="13.5" customHeight="1">
      <c r="A16" s="2" t="s">
        <v>356</v>
      </c>
      <c r="B16" s="16">
        <v>44766</v>
      </c>
      <c r="C16" s="16">
        <v>43996</v>
      </c>
      <c r="D16" s="16">
        <v>26973</v>
      </c>
      <c r="E16" s="16"/>
      <c r="F16" s="16">
        <v>26273</v>
      </c>
      <c r="G16" s="16">
        <v>23662</v>
      </c>
      <c r="H16" s="16">
        <v>14554</v>
      </c>
      <c r="I16" s="2"/>
    </row>
    <row r="17" spans="1:9" ht="13.5" customHeight="1">
      <c r="A17" s="2" t="s">
        <v>594</v>
      </c>
      <c r="B17" s="16">
        <v>114363</v>
      </c>
      <c r="C17" s="16">
        <v>83379</v>
      </c>
      <c r="D17" s="16">
        <v>88573</v>
      </c>
      <c r="E17" s="16"/>
      <c r="F17" s="16">
        <v>223776</v>
      </c>
      <c r="G17" s="16">
        <v>222016</v>
      </c>
      <c r="H17" s="16">
        <v>77057</v>
      </c>
      <c r="I17" s="2"/>
    </row>
    <row r="18" spans="1:9" ht="13.5" customHeight="1">
      <c r="A18" s="2" t="s">
        <v>593</v>
      </c>
      <c r="B18" s="41">
        <f>217520+1</f>
        <v>217521</v>
      </c>
      <c r="C18" s="41">
        <f>179888-1</f>
        <v>179887</v>
      </c>
      <c r="D18" s="41">
        <f>40745+2</f>
        <v>40747</v>
      </c>
      <c r="E18" s="16"/>
      <c r="F18" s="41">
        <v>132208</v>
      </c>
      <c r="G18" s="41">
        <v>105352</v>
      </c>
      <c r="H18" s="41">
        <v>28133</v>
      </c>
      <c r="I18" s="2"/>
    </row>
    <row r="19" spans="1:9" ht="13.5" customHeight="1">
      <c r="A19" s="2" t="s">
        <v>358</v>
      </c>
      <c r="B19" s="15">
        <f>SUM(B10:B18)</f>
        <v>3035815</v>
      </c>
      <c r="C19" s="15">
        <f>SUM(C10:C18)</f>
        <v>2391771</v>
      </c>
      <c r="D19" s="15">
        <f>SUM(D10:D18)</f>
        <v>1458860</v>
      </c>
      <c r="E19" s="16"/>
      <c r="F19" s="15">
        <f>SUM(F10:F18)</f>
        <v>2766148</v>
      </c>
      <c r="G19" s="15">
        <f>SUM(G10:G18)</f>
        <v>2121885</v>
      </c>
      <c r="H19" s="15">
        <f>SUM(H10:H18)</f>
        <v>1025522</v>
      </c>
      <c r="I19" s="2"/>
    </row>
    <row r="20" spans="1:9" ht="13.5" customHeight="1">
      <c r="A20" s="2"/>
      <c r="B20" s="15"/>
      <c r="C20" s="16"/>
      <c r="D20" s="16"/>
      <c r="E20" s="16"/>
      <c r="F20" s="16"/>
      <c r="G20" s="16"/>
      <c r="H20" s="16"/>
      <c r="I20" s="2"/>
    </row>
    <row r="21" spans="1:9" ht="13.5" customHeight="1">
      <c r="A21" s="9" t="s">
        <v>513</v>
      </c>
      <c r="B21" s="16">
        <v>111324</v>
      </c>
      <c r="C21" s="16">
        <v>97313</v>
      </c>
      <c r="D21" s="16">
        <v>92771</v>
      </c>
      <c r="E21" s="16"/>
      <c r="F21" s="16">
        <v>38528</v>
      </c>
      <c r="G21" s="16">
        <v>36968</v>
      </c>
      <c r="H21" s="16">
        <v>39193</v>
      </c>
      <c r="I21" s="2"/>
    </row>
    <row r="22" spans="1:9" ht="13.5" customHeight="1">
      <c r="A22" s="2"/>
      <c r="B22" s="16"/>
      <c r="C22" s="16"/>
      <c r="D22" s="16"/>
      <c r="E22" s="16"/>
      <c r="F22" s="16"/>
      <c r="G22" s="16"/>
      <c r="H22" s="16"/>
      <c r="I22" s="2"/>
    </row>
    <row r="23" spans="1:9" ht="13.5" customHeight="1" thickBot="1">
      <c r="A23" s="9" t="s">
        <v>357</v>
      </c>
      <c r="B23" s="42">
        <f>+B19+B21</f>
        <v>3147139</v>
      </c>
      <c r="C23" s="42">
        <f>+C19+C21</f>
        <v>2489084</v>
      </c>
      <c r="D23" s="42">
        <f>+D19+D21</f>
        <v>1551631</v>
      </c>
      <c r="E23" s="9"/>
      <c r="F23" s="42">
        <f>+F19+F21</f>
        <v>2804676</v>
      </c>
      <c r="G23" s="42">
        <f>+G19+G21</f>
        <v>2158853</v>
      </c>
      <c r="H23" s="42">
        <f>+H19+H21</f>
        <v>1064715</v>
      </c>
      <c r="I23" s="2"/>
    </row>
    <row r="24" spans="1:9" ht="13.5" customHeight="1" thickTop="1">
      <c r="A24" s="2"/>
      <c r="B24" s="2"/>
      <c r="C24" s="2"/>
      <c r="D24" s="2"/>
      <c r="E24" s="2"/>
      <c r="F24" s="2"/>
      <c r="G24" s="2"/>
      <c r="H24" s="2"/>
      <c r="I24" s="2"/>
    </row>
    <row r="25" ht="13.5" customHeight="1"/>
    <row r="26" ht="13.5" customHeight="1">
      <c r="A26" s="9" t="s">
        <v>315</v>
      </c>
    </row>
    <row r="27" spans="1:8" ht="13.5" customHeight="1">
      <c r="A27" s="338" t="s">
        <v>595</v>
      </c>
      <c r="B27" s="338"/>
      <c r="C27" s="338"/>
      <c r="D27" s="338"/>
      <c r="E27" s="338"/>
      <c r="F27" s="338"/>
      <c r="G27" s="338"/>
      <c r="H27" s="338"/>
    </row>
    <row r="28" spans="1:11" ht="13.5" customHeight="1">
      <c r="A28" s="332" t="s">
        <v>28</v>
      </c>
      <c r="B28" s="332"/>
      <c r="C28" s="332"/>
      <c r="D28" s="332"/>
      <c r="E28" s="332"/>
      <c r="F28" s="332"/>
      <c r="G28" s="332"/>
      <c r="H28" s="332"/>
      <c r="I28" s="24"/>
      <c r="J28" s="24"/>
      <c r="K28" s="24"/>
    </row>
    <row r="29" spans="1:11" ht="13.5" customHeight="1">
      <c r="A29" s="332"/>
      <c r="B29" s="332"/>
      <c r="C29" s="332"/>
      <c r="D29" s="332"/>
      <c r="E29" s="332"/>
      <c r="F29" s="332"/>
      <c r="G29" s="332"/>
      <c r="H29" s="332"/>
      <c r="I29" s="24"/>
      <c r="J29" s="24"/>
      <c r="K29" s="24"/>
    </row>
    <row r="30" ht="13.5" customHeight="1"/>
    <row r="31" ht="13.5" customHeight="1"/>
    <row r="32" ht="13.5" customHeight="1"/>
    <row r="33" ht="13.5" customHeight="1"/>
    <row r="34" ht="13.5" customHeight="1"/>
    <row r="35" ht="13.5" customHeight="1"/>
    <row r="36" ht="13.5" customHeight="1"/>
    <row r="37" ht="13.5" customHeight="1"/>
  </sheetData>
  <mergeCells count="4">
    <mergeCell ref="A28:H29"/>
    <mergeCell ref="F3:H3"/>
    <mergeCell ref="B3:D3"/>
    <mergeCell ref="A27:H27"/>
  </mergeCells>
  <printOptions horizontalCentered="1" verticalCentered="1"/>
  <pageMargins left="0.75" right="0.75" top="0.85" bottom="1" header="0.5" footer="0.5"/>
  <pageSetup horizontalDpi="600" verticalDpi="600" orientation="landscape" scale="70" r:id="rId2"/>
  <headerFooter alignWithMargins="0">
    <oddHeader>&amp;L&amp;G&amp;C&amp;"Optima,Bold"&amp;18PREMIUMS BY LINE OF BUSINESS
&amp;"Optima,Regular"&amp;12(U.S. dollars in thousands)
(Unaudited)</oddHeader>
    <oddFooter>&amp;C&amp;"Optima,Regular"13</oddFooter>
  </headerFooter>
  <legacyDrawingHF r:id="rId1"/>
</worksheet>
</file>

<file path=xl/worksheets/sheet19.xml><?xml version="1.0" encoding="utf-8"?>
<worksheet xmlns="http://schemas.openxmlformats.org/spreadsheetml/2006/main" xmlns:r="http://schemas.openxmlformats.org/officeDocument/2006/relationships">
  <sheetPr codeName="Sheet14"/>
  <dimension ref="A1:N65"/>
  <sheetViews>
    <sheetView workbookViewId="0" topLeftCell="A42">
      <selection activeCell="A60" sqref="A60"/>
    </sheetView>
  </sheetViews>
  <sheetFormatPr defaultColWidth="9.140625" defaultRowHeight="12.75"/>
  <cols>
    <col min="1" max="1" width="29.7109375" style="1" customWidth="1"/>
    <col min="2" max="2" width="3.8515625" style="1" customWidth="1"/>
    <col min="3" max="3" width="16.7109375" style="1" customWidth="1"/>
    <col min="4" max="4" width="5.140625" style="1" customWidth="1"/>
    <col min="5" max="5" width="16.7109375" style="1" customWidth="1"/>
    <col min="6" max="6" width="5.140625" style="1" customWidth="1"/>
    <col min="7" max="7" width="16.7109375" style="1" customWidth="1"/>
    <col min="8" max="8" width="3.8515625" style="1" customWidth="1"/>
    <col min="9" max="9" width="16.7109375" style="1" customWidth="1"/>
    <col min="10" max="10" width="3.8515625" style="1" customWidth="1"/>
    <col min="11" max="11" width="16.7109375" style="1" customWidth="1"/>
    <col min="12" max="12" width="3.8515625" style="1" customWidth="1"/>
    <col min="13" max="13" width="12.28125" style="1" bestFit="1" customWidth="1"/>
    <col min="14" max="14" width="10.7109375" style="1" bestFit="1" customWidth="1"/>
    <col min="15" max="16384" width="9.140625" style="1" customWidth="1"/>
  </cols>
  <sheetData>
    <row r="1" spans="3:14" ht="15.75">
      <c r="C1" s="12" t="s">
        <v>307</v>
      </c>
      <c r="D1" s="12"/>
      <c r="E1" s="12" t="s">
        <v>307</v>
      </c>
      <c r="F1" s="12"/>
      <c r="G1" s="12" t="s">
        <v>307</v>
      </c>
      <c r="H1" s="12"/>
      <c r="I1" s="12" t="s">
        <v>307</v>
      </c>
      <c r="J1" s="12"/>
      <c r="K1" s="12" t="s">
        <v>307</v>
      </c>
      <c r="L1" s="12"/>
      <c r="M1" s="341" t="s">
        <v>32</v>
      </c>
      <c r="N1" s="341"/>
    </row>
    <row r="2" spans="3:14" ht="15.75">
      <c r="C2" s="132" t="s">
        <v>27</v>
      </c>
      <c r="D2" s="12"/>
      <c r="E2" s="132" t="s">
        <v>547</v>
      </c>
      <c r="F2" s="12"/>
      <c r="G2" s="132" t="s">
        <v>500</v>
      </c>
      <c r="H2" s="12"/>
      <c r="I2" s="132" t="s">
        <v>402</v>
      </c>
      <c r="J2" s="12"/>
      <c r="K2" s="12" t="s">
        <v>310</v>
      </c>
      <c r="L2" s="12"/>
      <c r="M2" s="12" t="s">
        <v>33</v>
      </c>
      <c r="N2" s="12" t="s">
        <v>34</v>
      </c>
    </row>
    <row r="3" spans="1:11" ht="13.5">
      <c r="A3" s="14" t="s">
        <v>404</v>
      </c>
      <c r="B3" s="14"/>
      <c r="C3" s="18"/>
      <c r="D3" s="18"/>
      <c r="E3" s="18"/>
      <c r="F3" s="18"/>
      <c r="G3" s="18"/>
      <c r="H3" s="18"/>
      <c r="I3" s="18"/>
      <c r="J3" s="18"/>
      <c r="K3" s="18"/>
    </row>
    <row r="4" spans="1:14" ht="13.5">
      <c r="A4" s="28" t="s">
        <v>602</v>
      </c>
      <c r="B4" s="28"/>
      <c r="C4" s="26">
        <v>685205</v>
      </c>
      <c r="D4" s="26"/>
      <c r="E4" s="26">
        <f>986026-E5</f>
        <v>285991</v>
      </c>
      <c r="F4" s="26"/>
      <c r="G4" s="26">
        <v>384970</v>
      </c>
      <c r="H4" s="26"/>
      <c r="I4" s="26">
        <v>333395</v>
      </c>
      <c r="J4" s="26"/>
      <c r="K4" s="26">
        <f>673084</f>
        <v>673084</v>
      </c>
      <c r="M4" s="99">
        <f>(C4-E4)/E4</f>
        <v>1.395897073684137</v>
      </c>
      <c r="N4" s="99">
        <f>(C4-K4)/K4</f>
        <v>0.01800815351427162</v>
      </c>
    </row>
    <row r="5" spans="1:14" ht="13.5">
      <c r="A5" s="28" t="s">
        <v>495</v>
      </c>
      <c r="B5" s="28"/>
      <c r="C5" s="18">
        <v>792049</v>
      </c>
      <c r="D5" s="18"/>
      <c r="E5" s="18">
        <v>700035</v>
      </c>
      <c r="F5" s="18"/>
      <c r="G5" s="18">
        <v>826351</v>
      </c>
      <c r="H5" s="18"/>
      <c r="I5" s="18">
        <v>558058</v>
      </c>
      <c r="J5" s="18"/>
      <c r="K5" s="18">
        <f>777302-K6</f>
        <v>677302</v>
      </c>
      <c r="M5" s="99">
        <f>(C5-E5)/E5</f>
        <v>0.131441999328605</v>
      </c>
      <c r="N5" s="99">
        <f>(C5-K5)/K5</f>
        <v>0.16941777818462075</v>
      </c>
    </row>
    <row r="6" spans="1:14" ht="13.5">
      <c r="A6" s="28" t="s">
        <v>208</v>
      </c>
      <c r="B6" s="28"/>
      <c r="C6" s="18"/>
      <c r="D6" s="18"/>
      <c r="E6" s="18"/>
      <c r="F6" s="18"/>
      <c r="G6" s="18"/>
      <c r="H6" s="18"/>
      <c r="I6" s="18"/>
      <c r="J6" s="18"/>
      <c r="K6" s="18">
        <v>100000</v>
      </c>
      <c r="M6" s="99" t="s">
        <v>80</v>
      </c>
      <c r="N6" s="99">
        <f>(C6-K6)/K6</f>
        <v>-1</v>
      </c>
    </row>
    <row r="7" spans="3:14" ht="13.5">
      <c r="C7" s="37">
        <f>SUM(C4:C6)</f>
        <v>1477254</v>
      </c>
      <c r="D7" s="37"/>
      <c r="E7" s="37">
        <f>SUM(E4:E6)</f>
        <v>986026</v>
      </c>
      <c r="F7" s="37"/>
      <c r="G7" s="37">
        <f>SUM(G4:G6)</f>
        <v>1211321</v>
      </c>
      <c r="H7" s="37"/>
      <c r="I7" s="37">
        <f>SUM(I4:I6)</f>
        <v>891453</v>
      </c>
      <c r="J7" s="37"/>
      <c r="K7" s="37">
        <f>SUM(K4:K6)</f>
        <v>1450386</v>
      </c>
      <c r="M7" s="110">
        <f>(C7-E7)/E7</f>
        <v>0.49818970290844256</v>
      </c>
      <c r="N7" s="110">
        <f>(C7-K7)/K7</f>
        <v>0.018524723763191316</v>
      </c>
    </row>
    <row r="8" spans="3:14" ht="13.5">
      <c r="C8" s="18"/>
      <c r="D8" s="18"/>
      <c r="E8" s="18"/>
      <c r="F8" s="18"/>
      <c r="G8" s="18"/>
      <c r="H8" s="18"/>
      <c r="I8" s="18"/>
      <c r="J8" s="18"/>
      <c r="K8" s="18"/>
      <c r="M8" s="99"/>
      <c r="N8" s="99"/>
    </row>
    <row r="9" spans="1:14" ht="13.5">
      <c r="A9" s="14" t="s">
        <v>405</v>
      </c>
      <c r="B9" s="14"/>
      <c r="C9" s="18"/>
      <c r="D9" s="18"/>
      <c r="E9" s="18"/>
      <c r="F9" s="18"/>
      <c r="G9" s="18"/>
      <c r="H9" s="18"/>
      <c r="I9" s="18"/>
      <c r="J9" s="18"/>
      <c r="K9" s="18"/>
      <c r="M9" s="99"/>
      <c r="N9" s="99"/>
    </row>
    <row r="10" spans="1:14" ht="13.5">
      <c r="A10" s="28" t="s">
        <v>601</v>
      </c>
      <c r="B10" s="28"/>
      <c r="C10" s="26">
        <v>516689</v>
      </c>
      <c r="D10" s="26"/>
      <c r="E10" s="26">
        <f>773273-E11</f>
        <v>227584</v>
      </c>
      <c r="F10" s="26"/>
      <c r="G10" s="26">
        <v>185959</v>
      </c>
      <c r="H10" s="26"/>
      <c r="I10" s="26">
        <v>209849</v>
      </c>
      <c r="J10" s="26"/>
      <c r="K10" s="26">
        <v>454486</v>
      </c>
      <c r="M10" s="99">
        <f>(C10-E10)/E10</f>
        <v>1.270322166760405</v>
      </c>
      <c r="N10" s="99">
        <f>(C10-K10)/K10</f>
        <v>0.13686450187684548</v>
      </c>
    </row>
    <row r="11" spans="1:14" ht="13.5">
      <c r="A11" s="28" t="s">
        <v>493</v>
      </c>
      <c r="B11" s="28"/>
      <c r="C11" s="18">
        <v>571716</v>
      </c>
      <c r="D11" s="18"/>
      <c r="E11" s="18">
        <v>545689</v>
      </c>
      <c r="F11" s="18"/>
      <c r="G11" s="18">
        <v>610007</v>
      </c>
      <c r="H11" s="18"/>
      <c r="I11" s="18">
        <v>376337</v>
      </c>
      <c r="J11" s="18"/>
      <c r="K11" s="18">
        <f>597381-K12</f>
        <v>497381</v>
      </c>
      <c r="M11" s="99">
        <f>(C11-E11)/E11</f>
        <v>0.04769566547978794</v>
      </c>
      <c r="N11" s="99">
        <f>(C11-K11)/K11</f>
        <v>0.14945283394419973</v>
      </c>
    </row>
    <row r="12" spans="1:14" ht="13.5">
      <c r="A12" s="28" t="s">
        <v>208</v>
      </c>
      <c r="B12" s="28"/>
      <c r="C12" s="18"/>
      <c r="D12" s="18"/>
      <c r="E12" s="18"/>
      <c r="F12" s="18"/>
      <c r="G12" s="18"/>
      <c r="H12" s="18"/>
      <c r="I12" s="18"/>
      <c r="J12" s="18"/>
      <c r="K12" s="18">
        <v>100000</v>
      </c>
      <c r="M12" s="99" t="s">
        <v>80</v>
      </c>
      <c r="N12" s="99">
        <f>(C12-K12)/K12</f>
        <v>-1</v>
      </c>
    </row>
    <row r="13" spans="3:14" ht="13.5">
      <c r="C13" s="37">
        <f>SUM(C10:C12)</f>
        <v>1088405</v>
      </c>
      <c r="D13" s="37"/>
      <c r="E13" s="37">
        <f>SUM(E10:E12)</f>
        <v>773273</v>
      </c>
      <c r="F13" s="37"/>
      <c r="G13" s="37">
        <f>SUM(G10:G12)</f>
        <v>795966</v>
      </c>
      <c r="H13" s="37"/>
      <c r="I13" s="37">
        <f>SUM(I10:I12)</f>
        <v>586186</v>
      </c>
      <c r="J13" s="37"/>
      <c r="K13" s="37">
        <f>SUM(K10:K12)</f>
        <v>1051867</v>
      </c>
      <c r="M13" s="110">
        <f>(C13-E13)/E13</f>
        <v>0.40753007023392773</v>
      </c>
      <c r="N13" s="110">
        <f>(C13-K13)/K13</f>
        <v>0.034736330733828515</v>
      </c>
    </row>
    <row r="14" spans="3:14" ht="13.5">
      <c r="C14" s="18"/>
      <c r="D14" s="18"/>
      <c r="E14" s="18"/>
      <c r="F14" s="18"/>
      <c r="G14" s="18"/>
      <c r="H14" s="18"/>
      <c r="I14" s="18"/>
      <c r="J14" s="18"/>
      <c r="K14" s="18"/>
      <c r="M14" s="99"/>
      <c r="N14" s="99"/>
    </row>
    <row r="15" spans="1:14" ht="13.5">
      <c r="A15" s="14" t="s">
        <v>406</v>
      </c>
      <c r="B15" s="14"/>
      <c r="C15" s="18"/>
      <c r="D15" s="18"/>
      <c r="E15" s="18"/>
      <c r="F15" s="18"/>
      <c r="G15" s="18"/>
      <c r="H15" s="18"/>
      <c r="I15" s="18"/>
      <c r="J15" s="18"/>
      <c r="K15" s="18"/>
      <c r="M15" s="99"/>
      <c r="N15" s="99"/>
    </row>
    <row r="16" spans="1:14" ht="13.5">
      <c r="A16" s="28" t="s">
        <v>601</v>
      </c>
      <c r="B16" s="28"/>
      <c r="C16" s="26">
        <v>316969</v>
      </c>
      <c r="D16" s="26"/>
      <c r="E16" s="26">
        <f>865623-E17-2169</f>
        <v>304737</v>
      </c>
      <c r="F16" s="26"/>
      <c r="G16" s="26">
        <f>315738-2169</f>
        <v>313569</v>
      </c>
      <c r="H16" s="26"/>
      <c r="I16" s="26">
        <f>254602-8845</f>
        <v>245757</v>
      </c>
      <c r="J16" s="26"/>
      <c r="K16" s="26">
        <f>239070-2855</f>
        <v>236215</v>
      </c>
      <c r="M16" s="99">
        <f>(C16-E16)/E16</f>
        <v>0.040139530152229624</v>
      </c>
      <c r="N16" s="99">
        <f>(C16-K16)/K16</f>
        <v>0.3418665199077112</v>
      </c>
    </row>
    <row r="17" spans="1:14" ht="13.5">
      <c r="A17" s="28" t="s">
        <v>493</v>
      </c>
      <c r="B17" s="28"/>
      <c r="C17" s="18">
        <v>564258</v>
      </c>
      <c r="D17" s="18"/>
      <c r="E17" s="18">
        <f>558717</f>
        <v>558717</v>
      </c>
      <c r="F17" s="18"/>
      <c r="G17" s="18">
        <f>524543</f>
        <v>524543</v>
      </c>
      <c r="H17" s="18"/>
      <c r="I17" s="18">
        <f>295174</f>
        <v>295174</v>
      </c>
      <c r="J17" s="18"/>
      <c r="K17" s="18">
        <f>353586</f>
        <v>353586</v>
      </c>
      <c r="M17" s="99">
        <f>(C17-E17)/E17</f>
        <v>0.009917364247015932</v>
      </c>
      <c r="N17" s="99">
        <f>(C17-K17)/K17</f>
        <v>0.5958154451816531</v>
      </c>
    </row>
    <row r="18" spans="3:14" ht="13.5">
      <c r="C18" s="37">
        <f>SUM(C16:C17)</f>
        <v>881227</v>
      </c>
      <c r="D18" s="37"/>
      <c r="E18" s="37">
        <f>SUM(E16:E17)</f>
        <v>863454</v>
      </c>
      <c r="F18" s="37"/>
      <c r="G18" s="37">
        <f>SUM(G16:G17)</f>
        <v>838112</v>
      </c>
      <c r="H18" s="37"/>
      <c r="I18" s="37">
        <f>SUM(I16:I17)</f>
        <v>540931</v>
      </c>
      <c r="J18" s="37"/>
      <c r="K18" s="37">
        <f>SUM(K16:K17)</f>
        <v>589801</v>
      </c>
      <c r="M18" s="110">
        <f>(C18-E18)/E18</f>
        <v>0.020583609549553305</v>
      </c>
      <c r="N18" s="110">
        <f>(C18-K18)/K18</f>
        <v>0.49410902999486267</v>
      </c>
    </row>
    <row r="19" spans="3:14" ht="13.5">
      <c r="C19" s="18"/>
      <c r="D19" s="18"/>
      <c r="E19" s="18"/>
      <c r="F19" s="18"/>
      <c r="G19" s="18"/>
      <c r="H19" s="18"/>
      <c r="I19" s="18"/>
      <c r="J19" s="18"/>
      <c r="K19" s="18"/>
      <c r="M19" s="28"/>
      <c r="N19" s="28"/>
    </row>
    <row r="20" spans="1:14" ht="13.5">
      <c r="A20" s="14" t="s">
        <v>395</v>
      </c>
      <c r="B20" s="14"/>
      <c r="C20" s="18"/>
      <c r="D20" s="18"/>
      <c r="E20" s="18"/>
      <c r="F20" s="18"/>
      <c r="G20" s="18"/>
      <c r="H20" s="18"/>
      <c r="I20" s="18"/>
      <c r="J20" s="18"/>
      <c r="K20" s="18"/>
      <c r="M20" s="28"/>
      <c r="N20" s="28"/>
    </row>
    <row r="21" spans="1:14" ht="13.5">
      <c r="A21" s="28" t="s">
        <v>601</v>
      </c>
      <c r="B21" s="28"/>
      <c r="C21" s="26">
        <v>543</v>
      </c>
      <c r="D21" s="26"/>
      <c r="E21" s="26">
        <f>13558-E22</f>
        <v>-4693</v>
      </c>
      <c r="F21" s="26"/>
      <c r="G21" s="26">
        <v>4472</v>
      </c>
      <c r="H21" s="26"/>
      <c r="I21" s="26">
        <v>7263</v>
      </c>
      <c r="J21" s="26"/>
      <c r="K21" s="26">
        <v>3669</v>
      </c>
      <c r="M21" s="99">
        <f>(C21-E21)/E21</f>
        <v>-1.11570424035798</v>
      </c>
      <c r="N21" s="99">
        <f>(C21-K21)/K21</f>
        <v>-0.8520032706459526</v>
      </c>
    </row>
    <row r="22" spans="1:14" ht="13.5">
      <c r="A22" s="28" t="s">
        <v>493</v>
      </c>
      <c r="B22" s="28"/>
      <c r="C22" s="18">
        <v>1605</v>
      </c>
      <c r="D22" s="18"/>
      <c r="E22" s="18">
        <v>18251</v>
      </c>
      <c r="F22" s="18"/>
      <c r="G22" s="18">
        <v>1256</v>
      </c>
      <c r="H22" s="18"/>
      <c r="I22" s="18">
        <v>3623</v>
      </c>
      <c r="J22" s="18"/>
      <c r="K22" s="18">
        <v>2876</v>
      </c>
      <c r="M22" s="99">
        <f>(C22-E22)/E22</f>
        <v>-0.912059613171881</v>
      </c>
      <c r="N22" s="99">
        <f>(C22-K22)/K22</f>
        <v>-0.44193324061196104</v>
      </c>
    </row>
    <row r="23" spans="3:14" ht="13.5">
      <c r="C23" s="37">
        <f>SUM(C21:C22)</f>
        <v>2148</v>
      </c>
      <c r="D23" s="37"/>
      <c r="E23" s="37">
        <f>SUM(E21:E22)</f>
        <v>13558</v>
      </c>
      <c r="F23" s="37"/>
      <c r="G23" s="37">
        <f>SUM(G21:G22)</f>
        <v>5728</v>
      </c>
      <c r="H23" s="37"/>
      <c r="I23" s="37">
        <f>SUM(I21:I22)</f>
        <v>10886</v>
      </c>
      <c r="J23" s="37"/>
      <c r="K23" s="37">
        <f>SUM(K21:K22)</f>
        <v>6545</v>
      </c>
      <c r="M23" s="110">
        <f>(C23-E23)/E23</f>
        <v>-0.8415695530314206</v>
      </c>
      <c r="N23" s="110">
        <f>(C23-K23)/K23</f>
        <v>-0.6718105423987777</v>
      </c>
    </row>
    <row r="24" spans="3:14" ht="13.5">
      <c r="C24" s="18"/>
      <c r="D24" s="18"/>
      <c r="E24" s="18"/>
      <c r="F24" s="18"/>
      <c r="G24" s="18"/>
      <c r="H24" s="18"/>
      <c r="I24" s="18"/>
      <c r="J24" s="18"/>
      <c r="K24" s="18"/>
      <c r="M24" s="28"/>
      <c r="N24" s="28"/>
    </row>
    <row r="25" spans="1:14" ht="13.5">
      <c r="A25" s="14" t="s">
        <v>336</v>
      </c>
      <c r="B25" s="14"/>
      <c r="C25" s="18"/>
      <c r="D25" s="18"/>
      <c r="E25" s="18"/>
      <c r="F25" s="18"/>
      <c r="G25" s="18"/>
      <c r="H25" s="18"/>
      <c r="I25" s="18"/>
      <c r="J25" s="18"/>
      <c r="K25" s="18"/>
      <c r="M25" s="28"/>
      <c r="N25" s="28"/>
    </row>
    <row r="26" spans="1:14" ht="13.5">
      <c r="A26" s="28" t="s">
        <v>601</v>
      </c>
      <c r="B26" s="28"/>
      <c r="C26" s="26">
        <v>174391</v>
      </c>
      <c r="D26" s="26"/>
      <c r="E26" s="26">
        <f>477897-E27-2645+16000</f>
        <v>54844</v>
      </c>
      <c r="F26" s="26"/>
      <c r="G26" s="26">
        <f>199638+60-3892</f>
        <v>195806</v>
      </c>
      <c r="H26" s="26"/>
      <c r="I26" s="26">
        <f>162791-10000-15807</f>
        <v>136984</v>
      </c>
      <c r="J26" s="26"/>
      <c r="K26" s="26">
        <f>156130-1794</f>
        <v>154336</v>
      </c>
      <c r="M26" s="99">
        <f>(C26-E26)/E26</f>
        <v>2.179764422726278</v>
      </c>
      <c r="N26" s="99">
        <f>(C26-K26)/K26</f>
        <v>0.12994375907111755</v>
      </c>
    </row>
    <row r="27" spans="1:14" ht="13.5">
      <c r="A27" s="28" t="s">
        <v>493</v>
      </c>
      <c r="B27" s="28"/>
      <c r="C27" s="18">
        <v>346894</v>
      </c>
      <c r="D27" s="18"/>
      <c r="E27" s="18">
        <f>382208+38200+16000</f>
        <v>436408</v>
      </c>
      <c r="F27" s="18"/>
      <c r="G27" s="18">
        <f>315748</f>
        <v>315748</v>
      </c>
      <c r="H27" s="18"/>
      <c r="I27" s="18">
        <f>247606-63000</f>
        <v>184606</v>
      </c>
      <c r="J27" s="18"/>
      <c r="K27" s="18">
        <f>220250</f>
        <v>220250</v>
      </c>
      <c r="M27" s="99">
        <f>(C27-E27)/E27</f>
        <v>-0.20511539660134553</v>
      </c>
      <c r="N27" s="99">
        <f>(C27-K27)/K27</f>
        <v>0.5750011350737798</v>
      </c>
    </row>
    <row r="28" spans="1:14" ht="13.5">
      <c r="A28" s="28" t="s">
        <v>421</v>
      </c>
      <c r="B28" s="28"/>
      <c r="C28" s="18">
        <v>0</v>
      </c>
      <c r="D28" s="18"/>
      <c r="E28" s="18">
        <v>0</v>
      </c>
      <c r="F28" s="18"/>
      <c r="G28" s="18">
        <v>0</v>
      </c>
      <c r="H28" s="18"/>
      <c r="I28" s="18">
        <f>63000+10000</f>
        <v>73000</v>
      </c>
      <c r="J28" s="18"/>
      <c r="K28" s="18">
        <v>0</v>
      </c>
      <c r="M28" s="99" t="s">
        <v>80</v>
      </c>
      <c r="N28" s="240" t="s">
        <v>80</v>
      </c>
    </row>
    <row r="29" spans="3:14" ht="13.5">
      <c r="C29" s="37">
        <f>SUM(C26:C28)</f>
        <v>521285</v>
      </c>
      <c r="D29" s="37"/>
      <c r="E29" s="37">
        <f>SUM(E26:E28)</f>
        <v>491252</v>
      </c>
      <c r="F29" s="37"/>
      <c r="G29" s="37">
        <f>SUM(G26:G28)</f>
        <v>511554</v>
      </c>
      <c r="H29" s="37"/>
      <c r="I29" s="37">
        <f>SUM(I26:I28)</f>
        <v>394590</v>
      </c>
      <c r="J29" s="37"/>
      <c r="K29" s="37">
        <f>SUM(K26:K28)</f>
        <v>374586</v>
      </c>
      <c r="M29" s="110">
        <f>(C29-E29)/E29</f>
        <v>0.06113562896436045</v>
      </c>
      <c r="N29" s="110">
        <f>(C29-K29)/K29</f>
        <v>0.39162969251386864</v>
      </c>
    </row>
    <row r="30" spans="13:14" ht="13.5">
      <c r="M30" s="28"/>
      <c r="N30" s="28"/>
    </row>
    <row r="31" spans="1:14" ht="13.5">
      <c r="A31" s="14" t="s">
        <v>397</v>
      </c>
      <c r="B31" s="14"/>
      <c r="C31" s="18"/>
      <c r="D31" s="18"/>
      <c r="E31" s="18"/>
      <c r="F31" s="18"/>
      <c r="G31" s="18"/>
      <c r="H31" s="18"/>
      <c r="I31" s="18"/>
      <c r="J31" s="18"/>
      <c r="K31" s="18"/>
      <c r="M31" s="28"/>
      <c r="N31" s="28"/>
    </row>
    <row r="32" spans="1:14" ht="13.5">
      <c r="A32" s="28" t="s">
        <v>601</v>
      </c>
      <c r="B32" s="28"/>
      <c r="C32" s="26">
        <v>25300</v>
      </c>
      <c r="D32" s="26"/>
      <c r="E32" s="26">
        <f>164207-E33</f>
        <v>41605</v>
      </c>
      <c r="F32" s="26"/>
      <c r="G32" s="26">
        <v>32574</v>
      </c>
      <c r="H32" s="26"/>
      <c r="I32" s="26">
        <v>17218</v>
      </c>
      <c r="J32" s="26"/>
      <c r="K32" s="26">
        <v>6361</v>
      </c>
      <c r="M32" s="99">
        <f>(C32-E32)/E32</f>
        <v>-0.39190001201778635</v>
      </c>
      <c r="N32" s="99">
        <f>(C32-K32)/K32</f>
        <v>2.9773620499921396</v>
      </c>
    </row>
    <row r="33" spans="1:14" ht="13.5">
      <c r="A33" s="28" t="s">
        <v>493</v>
      </c>
      <c r="B33" s="28"/>
      <c r="C33" s="18">
        <v>99150</v>
      </c>
      <c r="D33" s="18"/>
      <c r="E33" s="18">
        <f>122602</f>
        <v>122602</v>
      </c>
      <c r="F33" s="18"/>
      <c r="G33" s="18">
        <v>122158</v>
      </c>
      <c r="H33" s="18"/>
      <c r="I33" s="18">
        <v>50426</v>
      </c>
      <c r="J33" s="18"/>
      <c r="K33" s="18">
        <v>85604</v>
      </c>
      <c r="M33" s="99">
        <f>(C33-E33)/E33</f>
        <v>-0.19128562339929203</v>
      </c>
      <c r="N33" s="99">
        <f>(C33-K33)/K33</f>
        <v>0.15824026914630157</v>
      </c>
    </row>
    <row r="34" spans="3:14" ht="13.5">
      <c r="C34" s="37">
        <f>SUM(C32:C33)</f>
        <v>124450</v>
      </c>
      <c r="D34" s="37"/>
      <c r="E34" s="37">
        <f>SUM(E32:E33)</f>
        <v>164207</v>
      </c>
      <c r="F34" s="37"/>
      <c r="G34" s="37">
        <f>SUM(G32:G33)</f>
        <v>154732</v>
      </c>
      <c r="H34" s="37"/>
      <c r="I34" s="37">
        <f>SUM(I32:I33)</f>
        <v>67644</v>
      </c>
      <c r="J34" s="37"/>
      <c r="K34" s="37">
        <f>SUM(K32:K33)</f>
        <v>91965</v>
      </c>
      <c r="M34" s="110">
        <f>(C34-E34)/E34</f>
        <v>-0.24211513516476155</v>
      </c>
      <c r="N34" s="110">
        <f>(C34-K34)/K34</f>
        <v>0.35323220790518134</v>
      </c>
    </row>
    <row r="35" spans="13:14" ht="13.5">
      <c r="M35" s="28"/>
      <c r="N35" s="28"/>
    </row>
    <row r="36" spans="1:14" ht="13.5">
      <c r="A36" s="14" t="s">
        <v>398</v>
      </c>
      <c r="B36" s="14"/>
      <c r="C36" s="18"/>
      <c r="D36" s="18"/>
      <c r="E36" s="18"/>
      <c r="F36" s="18"/>
      <c r="G36" s="18"/>
      <c r="H36" s="18"/>
      <c r="I36" s="18"/>
      <c r="J36" s="18"/>
      <c r="K36" s="18"/>
      <c r="M36" s="28"/>
      <c r="N36" s="28"/>
    </row>
    <row r="37" spans="1:14" ht="13.5">
      <c r="A37" s="28" t="s">
        <v>601</v>
      </c>
      <c r="B37" s="28"/>
      <c r="C37" s="26">
        <v>55020</v>
      </c>
      <c r="D37" s="26"/>
      <c r="E37" s="26">
        <f>85409-E38</f>
        <v>46354</v>
      </c>
      <c r="F37" s="26"/>
      <c r="G37" s="26">
        <v>61251</v>
      </c>
      <c r="H37" s="26"/>
      <c r="I37" s="26">
        <v>62738</v>
      </c>
      <c r="J37" s="26"/>
      <c r="K37" s="26">
        <v>50847</v>
      </c>
      <c r="M37" s="99">
        <f>(C37-E37)/E37</f>
        <v>0.1869525823014195</v>
      </c>
      <c r="N37" s="99">
        <f>(C37-K37)/K37</f>
        <v>0.08206973862764765</v>
      </c>
    </row>
    <row r="38" spans="1:14" ht="13.5">
      <c r="A38" s="28" t="s">
        <v>493</v>
      </c>
      <c r="B38" s="28"/>
      <c r="C38" s="18">
        <v>43076</v>
      </c>
      <c r="D38" s="18"/>
      <c r="E38" s="18">
        <v>39055</v>
      </c>
      <c r="F38" s="18"/>
      <c r="G38" s="18">
        <v>34027</v>
      </c>
      <c r="H38" s="18"/>
      <c r="I38" s="18">
        <v>48503</v>
      </c>
      <c r="J38" s="18"/>
      <c r="K38" s="18">
        <v>38126</v>
      </c>
      <c r="M38" s="99">
        <f>(C38-E38)/E38</f>
        <v>0.1029573678146204</v>
      </c>
      <c r="N38" s="99">
        <f>(C38-K38)/K38</f>
        <v>0.1298326601269475</v>
      </c>
    </row>
    <row r="39" spans="3:14" ht="13.5">
      <c r="C39" s="37">
        <f>SUM(C37:C38)</f>
        <v>98096</v>
      </c>
      <c r="D39" s="37"/>
      <c r="E39" s="37">
        <f>SUM(E37:E38)</f>
        <v>85409</v>
      </c>
      <c r="F39" s="37"/>
      <c r="G39" s="37">
        <f>SUM(G37:G38)</f>
        <v>95278</v>
      </c>
      <c r="H39" s="37"/>
      <c r="I39" s="37">
        <f>SUM(I37:I38)</f>
        <v>111241</v>
      </c>
      <c r="J39" s="37"/>
      <c r="K39" s="37">
        <f>SUM(K37:K38)</f>
        <v>88973</v>
      </c>
      <c r="M39" s="110">
        <f>(C39-E39)/E39</f>
        <v>0.1485440644428573</v>
      </c>
      <c r="N39" s="110">
        <f>(C39-K39)/K39</f>
        <v>0.10253672462432423</v>
      </c>
    </row>
    <row r="41" spans="1:11" ht="13.5">
      <c r="A41" s="14" t="s">
        <v>469</v>
      </c>
      <c r="B41" s="14"/>
      <c r="C41" s="18"/>
      <c r="D41" s="18"/>
      <c r="E41" s="18"/>
      <c r="F41" s="18"/>
      <c r="G41" s="18"/>
      <c r="H41" s="18"/>
      <c r="I41" s="18"/>
      <c r="J41" s="18"/>
      <c r="K41" s="18"/>
    </row>
    <row r="42" spans="1:14" ht="13.5">
      <c r="A42" s="28" t="s">
        <v>601</v>
      </c>
      <c r="B42" s="28"/>
      <c r="C42" s="26">
        <v>-263</v>
      </c>
      <c r="D42" s="26"/>
      <c r="E42" s="26">
        <f>-25454-E43</f>
        <v>-16945</v>
      </c>
      <c r="F42" s="26"/>
      <c r="G42" s="26">
        <v>468</v>
      </c>
      <c r="H42" s="26"/>
      <c r="I42" s="26">
        <v>-7726</v>
      </c>
      <c r="J42" s="26"/>
      <c r="K42" s="26">
        <v>-1808</v>
      </c>
      <c r="M42" s="36"/>
      <c r="N42" s="36"/>
    </row>
    <row r="43" spans="1:14" ht="13.5">
      <c r="A43" s="28" t="s">
        <v>493</v>
      </c>
      <c r="B43" s="28"/>
      <c r="C43" s="18">
        <v>7980</v>
      </c>
      <c r="D43" s="18"/>
      <c r="E43" s="18">
        <v>-8509</v>
      </c>
      <c r="F43" s="18"/>
      <c r="G43" s="18">
        <v>-7236</v>
      </c>
      <c r="H43" s="18"/>
      <c r="I43" s="18">
        <v>-14455</v>
      </c>
      <c r="J43" s="18"/>
      <c r="K43" s="18">
        <v>-304</v>
      </c>
      <c r="M43" s="36"/>
      <c r="N43" s="36"/>
    </row>
    <row r="44" spans="3:11" ht="13.5">
      <c r="C44" s="37">
        <f>SUM(C42:C43)</f>
        <v>7717</v>
      </c>
      <c r="D44" s="37"/>
      <c r="E44" s="37">
        <f>SUM(E42:E43)</f>
        <v>-25454</v>
      </c>
      <c r="F44" s="37"/>
      <c r="G44" s="37">
        <f>SUM(G42:G43)</f>
        <v>-6768</v>
      </c>
      <c r="H44" s="37"/>
      <c r="I44" s="37">
        <f>SUM(I42:I43)</f>
        <v>-22181</v>
      </c>
      <c r="J44" s="37"/>
      <c r="K44" s="37">
        <f>SUM(K42:K43)</f>
        <v>-2112</v>
      </c>
    </row>
    <row r="46" spans="2:11" ht="13.5">
      <c r="B46" s="14"/>
      <c r="C46" s="18"/>
      <c r="D46" s="18"/>
      <c r="E46" s="18"/>
      <c r="F46" s="18"/>
      <c r="G46" s="18"/>
      <c r="H46" s="18"/>
      <c r="I46" s="18"/>
      <c r="J46" s="18"/>
      <c r="K46" s="18"/>
    </row>
    <row r="47" spans="1:11" ht="13.5">
      <c r="A47" s="14" t="s">
        <v>107</v>
      </c>
      <c r="C47" s="63">
        <f>+C18+C23-C29-C34-C39-C44</f>
        <v>131827</v>
      </c>
      <c r="D47" s="37"/>
      <c r="E47" s="63">
        <f>+E18+E23-E29-E34-E39-E44</f>
        <v>161598</v>
      </c>
      <c r="F47" s="37"/>
      <c r="G47" s="63">
        <f>+G18+G23-G29-G34-G39-G44</f>
        <v>89044</v>
      </c>
      <c r="H47" s="37"/>
      <c r="I47" s="37">
        <f>+I18+I23-I29-I34-I39-I44</f>
        <v>523</v>
      </c>
      <c r="J47" s="37"/>
      <c r="K47" s="37">
        <f>+K18+K23-K29-K34-K39-K44</f>
        <v>42934</v>
      </c>
    </row>
    <row r="48" ht="13.5">
      <c r="K48" s="33"/>
    </row>
    <row r="49" spans="1:2" ht="13.5">
      <c r="A49" s="38" t="s">
        <v>207</v>
      </c>
      <c r="B49" s="60"/>
    </row>
    <row r="50" spans="1:11" ht="13.5">
      <c r="A50" s="1" t="s">
        <v>343</v>
      </c>
      <c r="B50" s="14"/>
      <c r="C50" s="32">
        <f>+(C29-C28)/C18</f>
        <v>0.5915445169065405</v>
      </c>
      <c r="D50" s="32"/>
      <c r="E50" s="32">
        <f>+(E29-E28)/E18</f>
        <v>0.5689382410643763</v>
      </c>
      <c r="F50" s="32"/>
      <c r="G50" s="32">
        <f>+(G29-G28)/G18</f>
        <v>0.6103647245236914</v>
      </c>
      <c r="H50" s="32"/>
      <c r="I50" s="32">
        <f>+(I29-I28)/I18</f>
        <v>0.5945120542176359</v>
      </c>
      <c r="J50" s="32"/>
      <c r="K50" s="32">
        <f>+(K29-K28)/K18</f>
        <v>0.635105739054359</v>
      </c>
    </row>
    <row r="51" spans="1:11" ht="13.5">
      <c r="A51" s="1" t="s">
        <v>344</v>
      </c>
      <c r="B51" s="14"/>
      <c r="C51" s="32">
        <f>+C34/C18</f>
        <v>0.141223543990368</v>
      </c>
      <c r="D51" s="32"/>
      <c r="E51" s="32">
        <f>+E34/E18</f>
        <v>0.19017457791613682</v>
      </c>
      <c r="F51" s="32"/>
      <c r="G51" s="32">
        <f>+G34/G18</f>
        <v>0.18461971669657515</v>
      </c>
      <c r="H51" s="32"/>
      <c r="I51" s="32">
        <f>+I34/I18</f>
        <v>0.12505106936004776</v>
      </c>
      <c r="J51" s="32"/>
      <c r="K51" s="32">
        <f>+K34/K18</f>
        <v>0.15592547316806854</v>
      </c>
    </row>
    <row r="52" spans="1:11" ht="13.5">
      <c r="A52" s="1" t="s">
        <v>345</v>
      </c>
      <c r="B52" s="14"/>
      <c r="C52" s="32">
        <f>+C39/C18</f>
        <v>0.11131751523727712</v>
      </c>
      <c r="D52" s="32"/>
      <c r="E52" s="32">
        <f>+E39/E18</f>
        <v>0.09891551837156351</v>
      </c>
      <c r="F52" s="32"/>
      <c r="G52" s="32">
        <f>+G39/G18</f>
        <v>0.1136817036386545</v>
      </c>
      <c r="H52" s="32"/>
      <c r="I52" s="32">
        <f>+I39/I18</f>
        <v>0.2056473006723593</v>
      </c>
      <c r="J52" s="32"/>
      <c r="K52" s="32">
        <f>+K39/K18</f>
        <v>0.15085257569926128</v>
      </c>
    </row>
    <row r="53" spans="1:11" ht="14.25" thickBot="1">
      <c r="A53" s="1" t="s">
        <v>346</v>
      </c>
      <c r="B53" s="14"/>
      <c r="C53" s="39">
        <f>SUM(C50:C52)</f>
        <v>0.8440855761341857</v>
      </c>
      <c r="D53" s="39"/>
      <c r="E53" s="39">
        <f>SUM(E50:E52)</f>
        <v>0.8580283373520766</v>
      </c>
      <c r="F53" s="39"/>
      <c r="G53" s="39">
        <f>SUM(G50:G52)</f>
        <v>0.908666144858921</v>
      </c>
      <c r="H53" s="39"/>
      <c r="I53" s="39">
        <f>SUM(I50:I52)+0.001</f>
        <v>0.926210424250043</v>
      </c>
      <c r="J53" s="39"/>
      <c r="K53" s="39">
        <f>SUM(K50:K52)</f>
        <v>0.9418837879216887</v>
      </c>
    </row>
    <row r="54" ht="14.25" thickTop="1"/>
    <row r="55" spans="1:2" ht="13.5">
      <c r="A55" s="38" t="s">
        <v>497</v>
      </c>
      <c r="B55" s="60"/>
    </row>
    <row r="56" spans="1:11" ht="13.5">
      <c r="A56" s="1" t="s">
        <v>343</v>
      </c>
      <c r="B56" s="14"/>
      <c r="C56" s="87" t="s">
        <v>420</v>
      </c>
      <c r="D56" s="40"/>
      <c r="E56" s="87" t="s">
        <v>420</v>
      </c>
      <c r="F56" s="40"/>
      <c r="G56" s="87" t="s">
        <v>420</v>
      </c>
      <c r="H56" s="40"/>
      <c r="I56" s="40">
        <f>+I29/I18</f>
        <v>0.7294645712669453</v>
      </c>
      <c r="J56" s="40"/>
      <c r="K56" s="87" t="s">
        <v>420</v>
      </c>
    </row>
    <row r="57" spans="1:11" ht="13.5">
      <c r="A57" s="1" t="s">
        <v>346</v>
      </c>
      <c r="B57" s="14"/>
      <c r="C57" s="87" t="s">
        <v>420</v>
      </c>
      <c r="D57" s="40"/>
      <c r="E57" s="87" t="s">
        <v>420</v>
      </c>
      <c r="F57" s="40"/>
      <c r="G57" s="87" t="s">
        <v>420</v>
      </c>
      <c r="H57" s="40"/>
      <c r="I57" s="40">
        <f>+I56+I51+I52-0.001</f>
        <v>1.0591629412993524</v>
      </c>
      <c r="J57" s="40"/>
      <c r="K57" s="87" t="s">
        <v>420</v>
      </c>
    </row>
    <row r="58" spans="2:11" ht="13.5">
      <c r="B58" s="14"/>
      <c r="C58" s="87"/>
      <c r="D58" s="40"/>
      <c r="E58" s="87"/>
      <c r="F58" s="40"/>
      <c r="G58" s="87"/>
      <c r="H58" s="40"/>
      <c r="I58" s="40"/>
      <c r="J58" s="40"/>
      <c r="K58" s="87"/>
    </row>
    <row r="59" ht="13.5">
      <c r="A59" s="14" t="s">
        <v>315</v>
      </c>
    </row>
    <row r="60" ht="13.5">
      <c r="A60" s="1" t="s">
        <v>131</v>
      </c>
    </row>
    <row r="61" spans="1:13" ht="28.5" customHeight="1">
      <c r="A61" s="335" t="s">
        <v>516</v>
      </c>
      <c r="B61" s="335"/>
      <c r="C61" s="335"/>
      <c r="D61" s="335"/>
      <c r="E61" s="335"/>
      <c r="F61" s="335"/>
      <c r="G61" s="335"/>
      <c r="H61" s="335"/>
      <c r="I61" s="335"/>
      <c r="J61" s="335"/>
      <c r="K61" s="335"/>
      <c r="L61" s="335"/>
      <c r="M61" s="335"/>
    </row>
    <row r="62" ht="13.5">
      <c r="A62" s="1" t="s">
        <v>209</v>
      </c>
    </row>
    <row r="63" spans="1:11" ht="27.75" customHeight="1">
      <c r="A63" s="332" t="s">
        <v>15</v>
      </c>
      <c r="B63" s="332"/>
      <c r="C63" s="332"/>
      <c r="D63" s="332"/>
      <c r="E63" s="332"/>
      <c r="F63" s="332"/>
      <c r="G63" s="332"/>
      <c r="H63" s="332"/>
      <c r="I63" s="332"/>
      <c r="J63" s="332"/>
      <c r="K63" s="332"/>
    </row>
    <row r="64" spans="1:13" ht="13.5">
      <c r="A64" s="335" t="s">
        <v>206</v>
      </c>
      <c r="B64" s="335"/>
      <c r="C64" s="335"/>
      <c r="D64" s="335"/>
      <c r="E64" s="335"/>
      <c r="F64" s="335"/>
      <c r="G64" s="335"/>
      <c r="H64" s="335"/>
      <c r="I64" s="335"/>
      <c r="J64" s="335"/>
      <c r="K64" s="335"/>
      <c r="L64" s="335"/>
      <c r="M64" s="335"/>
    </row>
    <row r="65" spans="1:13" ht="13.5">
      <c r="A65" s="335"/>
      <c r="B65" s="335"/>
      <c r="C65" s="335"/>
      <c r="D65" s="335"/>
      <c r="E65" s="335"/>
      <c r="F65" s="335"/>
      <c r="G65" s="335"/>
      <c r="H65" s="335"/>
      <c r="I65" s="335"/>
      <c r="J65" s="335"/>
      <c r="K65" s="335"/>
      <c r="L65" s="335"/>
      <c r="M65" s="335"/>
    </row>
  </sheetData>
  <mergeCells count="4">
    <mergeCell ref="M1:N1"/>
    <mergeCell ref="A63:K63"/>
    <mergeCell ref="A61:M61"/>
    <mergeCell ref="A64:M65"/>
  </mergeCells>
  <printOptions horizontalCentered="1" verticalCentered="1"/>
  <pageMargins left="0.5" right="0.5" top="1" bottom="0.6" header="0.5" footer="0.5"/>
  <pageSetup horizontalDpi="300" verticalDpi="300" orientation="landscape" scale="54" r:id="rId2"/>
  <headerFooter alignWithMargins="0">
    <oddHeader>&amp;L&amp;G&amp;C&amp;"Optima,Bold"&amp;18INSURANCE SEGMENT
&amp;"Optima,Regular"&amp;12(U.S. dollars in thousands)
(Unaudited)</oddHeader>
    <oddFooter>&amp;C&amp;"Optima,Regular"14</oddFooter>
  </headerFooter>
  <legacyDrawingHF r:id="rId1"/>
</worksheet>
</file>

<file path=xl/worksheets/sheet2.xml><?xml version="1.0" encoding="utf-8"?>
<worksheet xmlns="http://schemas.openxmlformats.org/spreadsheetml/2006/main" xmlns:r="http://schemas.openxmlformats.org/officeDocument/2006/relationships">
  <sheetPr codeName="Sheet2"/>
  <dimension ref="A1:M52"/>
  <sheetViews>
    <sheetView workbookViewId="0" topLeftCell="A1">
      <selection activeCell="L5" sqref="L5"/>
    </sheetView>
  </sheetViews>
  <sheetFormatPr defaultColWidth="9.140625" defaultRowHeight="12.75"/>
  <cols>
    <col min="1" max="11" width="9.140625" style="1" customWidth="1"/>
    <col min="12" max="12" width="11.28125" style="1" customWidth="1"/>
    <col min="13" max="16384" width="9.140625" style="1" customWidth="1"/>
  </cols>
  <sheetData>
    <row r="1" spans="3:12" ht="15">
      <c r="C1" s="2"/>
      <c r="D1" s="2"/>
      <c r="E1" s="2"/>
      <c r="F1" s="2"/>
      <c r="G1" s="2"/>
      <c r="H1" s="2"/>
      <c r="I1" s="2"/>
      <c r="J1" s="2"/>
      <c r="K1" s="2"/>
      <c r="L1" s="21" t="s">
        <v>413</v>
      </c>
    </row>
    <row r="2" spans="3:11" ht="15">
      <c r="C2" s="2"/>
      <c r="D2" s="2"/>
      <c r="E2" s="2"/>
      <c r="F2" s="2"/>
      <c r="G2" s="2"/>
      <c r="H2" s="2"/>
      <c r="I2" s="2"/>
      <c r="J2" s="2"/>
      <c r="K2" s="2"/>
    </row>
    <row r="3" spans="3:12" ht="15.75">
      <c r="C3" s="5" t="s">
        <v>167</v>
      </c>
      <c r="D3" s="2"/>
      <c r="E3" s="2"/>
      <c r="F3" s="2"/>
      <c r="G3" s="2"/>
      <c r="H3" s="2"/>
      <c r="I3" s="2"/>
      <c r="J3" s="2"/>
      <c r="K3" s="2"/>
      <c r="L3" s="69" t="s">
        <v>448</v>
      </c>
    </row>
    <row r="4" spans="3:12" ht="15.75">
      <c r="C4" s="5"/>
      <c r="D4" s="2"/>
      <c r="E4" s="5" t="s">
        <v>166</v>
      </c>
      <c r="F4" s="2"/>
      <c r="G4" s="2"/>
      <c r="H4" s="2"/>
      <c r="I4" s="2"/>
      <c r="J4" s="2"/>
      <c r="K4" s="2"/>
      <c r="L4" s="69" t="s">
        <v>168</v>
      </c>
    </row>
    <row r="5" spans="3:12" ht="15.75">
      <c r="C5" s="5"/>
      <c r="D5" s="2"/>
      <c r="E5" s="2"/>
      <c r="F5" s="2"/>
      <c r="G5" s="2"/>
      <c r="H5" s="2"/>
      <c r="I5" s="2"/>
      <c r="J5" s="2"/>
      <c r="K5" s="2"/>
      <c r="L5" s="69"/>
    </row>
    <row r="6" spans="3:12" ht="15.75">
      <c r="C6" s="5" t="s">
        <v>122</v>
      </c>
      <c r="D6" s="2"/>
      <c r="E6" s="2"/>
      <c r="F6" s="2"/>
      <c r="G6" s="2"/>
      <c r="H6" s="2"/>
      <c r="I6" s="2"/>
      <c r="J6" s="2"/>
      <c r="K6" s="2"/>
      <c r="L6" s="69" t="s">
        <v>123</v>
      </c>
    </row>
    <row r="7" spans="3:12" ht="15.75">
      <c r="C7" s="5"/>
      <c r="D7" s="2"/>
      <c r="E7" s="2"/>
      <c r="F7" s="2"/>
      <c r="G7" s="2"/>
      <c r="H7" s="2"/>
      <c r="I7" s="2"/>
      <c r="J7" s="2"/>
      <c r="K7" s="2"/>
      <c r="L7" s="69"/>
    </row>
    <row r="8" spans="3:12" ht="15.75">
      <c r="C8" s="5" t="s">
        <v>459</v>
      </c>
      <c r="D8" s="2"/>
      <c r="E8" s="2"/>
      <c r="F8" s="2"/>
      <c r="G8" s="2"/>
      <c r="H8" s="2"/>
      <c r="I8" s="2"/>
      <c r="J8" s="2"/>
      <c r="K8" s="2"/>
      <c r="L8" s="69" t="s">
        <v>480</v>
      </c>
    </row>
    <row r="9" spans="3:12" ht="15.75">
      <c r="C9" s="5"/>
      <c r="D9" s="2"/>
      <c r="E9" s="2"/>
      <c r="F9" s="2"/>
      <c r="G9" s="2"/>
      <c r="H9" s="2"/>
      <c r="I9" s="2"/>
      <c r="J9" s="2"/>
      <c r="K9" s="2"/>
      <c r="L9" s="69"/>
    </row>
    <row r="10" spans="3:12" ht="15.75">
      <c r="C10" s="5"/>
      <c r="D10" s="2" t="s">
        <v>300</v>
      </c>
      <c r="E10" s="2"/>
      <c r="F10" s="2"/>
      <c r="G10" s="2"/>
      <c r="H10" s="2"/>
      <c r="I10" s="2"/>
      <c r="J10" s="2"/>
      <c r="K10" s="2"/>
      <c r="L10" s="69" t="s">
        <v>72</v>
      </c>
    </row>
    <row r="11" spans="3:12" ht="15.75" hidden="1">
      <c r="C11" s="5"/>
      <c r="D11" s="2" t="s">
        <v>546</v>
      </c>
      <c r="E11" s="2"/>
      <c r="F11" s="2"/>
      <c r="G11" s="2"/>
      <c r="H11" s="2"/>
      <c r="I11" s="2"/>
      <c r="J11" s="2"/>
      <c r="K11" s="2"/>
      <c r="L11" s="69" t="s">
        <v>410</v>
      </c>
    </row>
    <row r="12" spans="3:12" ht="15.75">
      <c r="C12" s="5"/>
      <c r="D12" s="2" t="s">
        <v>102</v>
      </c>
      <c r="E12" s="2"/>
      <c r="F12" s="2"/>
      <c r="G12" s="2"/>
      <c r="H12" s="2"/>
      <c r="I12" s="2"/>
      <c r="J12" s="2"/>
      <c r="K12" s="2"/>
      <c r="L12" s="69" t="s">
        <v>233</v>
      </c>
    </row>
    <row r="13" spans="3:12" ht="15">
      <c r="C13" s="2"/>
      <c r="D13" s="2"/>
      <c r="E13" s="2"/>
      <c r="F13" s="2"/>
      <c r="G13" s="2"/>
      <c r="H13" s="2"/>
      <c r="I13" s="2"/>
      <c r="J13" s="2"/>
      <c r="K13" s="2"/>
      <c r="L13" s="68"/>
    </row>
    <row r="14" spans="3:12" ht="15">
      <c r="C14" s="2"/>
      <c r="D14" s="86" t="s">
        <v>517</v>
      </c>
      <c r="E14" s="2"/>
      <c r="F14" s="2"/>
      <c r="G14" s="2"/>
      <c r="H14" s="2"/>
      <c r="I14" s="2"/>
      <c r="J14" s="2"/>
      <c r="K14" s="2"/>
      <c r="L14" s="68"/>
    </row>
    <row r="15" spans="3:12" ht="15">
      <c r="C15" s="2"/>
      <c r="E15" s="2" t="s">
        <v>443</v>
      </c>
      <c r="F15" s="2"/>
      <c r="G15" s="2"/>
      <c r="H15" s="2"/>
      <c r="I15" s="2"/>
      <c r="J15" s="2"/>
      <c r="K15" s="2"/>
      <c r="L15" s="69" t="s">
        <v>42</v>
      </c>
    </row>
    <row r="16" spans="3:12" ht="15">
      <c r="C16" s="2"/>
      <c r="E16" s="2" t="s">
        <v>444</v>
      </c>
      <c r="F16" s="2"/>
      <c r="G16" s="2"/>
      <c r="H16" s="2"/>
      <c r="I16" s="2"/>
      <c r="J16" s="2"/>
      <c r="K16" s="2"/>
      <c r="L16" s="69" t="s">
        <v>234</v>
      </c>
    </row>
    <row r="17" spans="3:12" ht="15">
      <c r="C17" s="2"/>
      <c r="E17" s="2" t="s">
        <v>445</v>
      </c>
      <c r="F17" s="2"/>
      <c r="G17" s="2"/>
      <c r="H17" s="2"/>
      <c r="I17" s="2"/>
      <c r="J17" s="2"/>
      <c r="K17" s="2"/>
      <c r="L17" s="69" t="s">
        <v>235</v>
      </c>
    </row>
    <row r="18" spans="3:12" ht="15">
      <c r="C18" s="2"/>
      <c r="D18" s="86" t="s">
        <v>518</v>
      </c>
      <c r="F18" s="2"/>
      <c r="G18" s="2"/>
      <c r="H18" s="2"/>
      <c r="I18" s="2"/>
      <c r="J18" s="2"/>
      <c r="K18" s="2"/>
      <c r="L18" s="69"/>
    </row>
    <row r="19" spans="3:12" ht="15" hidden="1">
      <c r="C19" s="2"/>
      <c r="E19" s="2" t="s">
        <v>443</v>
      </c>
      <c r="F19" s="2"/>
      <c r="G19" s="2"/>
      <c r="H19" s="2"/>
      <c r="I19" s="2"/>
      <c r="J19" s="2"/>
      <c r="K19" s="2"/>
      <c r="L19" s="69" t="s">
        <v>600</v>
      </c>
    </row>
    <row r="20" spans="3:12" ht="15" hidden="1">
      <c r="C20" s="2"/>
      <c r="E20" s="2" t="s">
        <v>444</v>
      </c>
      <c r="F20" s="2"/>
      <c r="G20" s="2"/>
      <c r="H20" s="2"/>
      <c r="I20" s="2"/>
      <c r="J20" s="2"/>
      <c r="K20" s="2"/>
      <c r="L20" s="69" t="s">
        <v>585</v>
      </c>
    </row>
    <row r="21" spans="3:12" ht="15">
      <c r="C21" s="2"/>
      <c r="E21" s="2" t="s">
        <v>488</v>
      </c>
      <c r="F21" s="2"/>
      <c r="G21" s="2"/>
      <c r="H21" s="2"/>
      <c r="I21" s="2"/>
      <c r="J21" s="2"/>
      <c r="K21" s="2"/>
      <c r="L21" s="69" t="s">
        <v>600</v>
      </c>
    </row>
    <row r="22" spans="3:12" ht="15.75">
      <c r="C22" s="2"/>
      <c r="D22" s="7"/>
      <c r="E22" s="2"/>
      <c r="F22" s="2"/>
      <c r="G22" s="2"/>
      <c r="H22" s="2"/>
      <c r="I22" s="2"/>
      <c r="J22" s="2"/>
      <c r="K22" s="2"/>
      <c r="L22" s="69"/>
    </row>
    <row r="23" spans="3:12" ht="15.75">
      <c r="C23" s="5" t="s">
        <v>458</v>
      </c>
      <c r="D23" s="7"/>
      <c r="E23" s="2"/>
      <c r="F23" s="2"/>
      <c r="G23" s="2"/>
      <c r="H23" s="2"/>
      <c r="I23" s="2"/>
      <c r="J23" s="2"/>
      <c r="K23" s="2"/>
      <c r="L23" s="69" t="s">
        <v>99</v>
      </c>
    </row>
    <row r="24" spans="3:12" ht="15.75">
      <c r="C24" s="2"/>
      <c r="D24" s="7"/>
      <c r="E24" s="2"/>
      <c r="F24" s="2"/>
      <c r="G24" s="2"/>
      <c r="H24" s="2"/>
      <c r="I24" s="2"/>
      <c r="J24" s="2"/>
      <c r="K24" s="2"/>
      <c r="L24" s="69"/>
    </row>
    <row r="25" spans="3:12" ht="15">
      <c r="C25" s="2"/>
      <c r="D25" s="2" t="s">
        <v>414</v>
      </c>
      <c r="E25" s="2"/>
      <c r="F25" s="2"/>
      <c r="G25" s="2"/>
      <c r="H25" s="2"/>
      <c r="I25" s="2"/>
      <c r="J25" s="2"/>
      <c r="K25" s="2"/>
      <c r="L25" s="69" t="s">
        <v>41</v>
      </c>
    </row>
    <row r="26" spans="3:12" ht="15">
      <c r="C26" s="2"/>
      <c r="D26" s="2" t="s">
        <v>137</v>
      </c>
      <c r="E26" s="2"/>
      <c r="F26" s="2"/>
      <c r="G26" s="2"/>
      <c r="H26" s="2"/>
      <c r="I26" s="2"/>
      <c r="J26" s="2"/>
      <c r="K26" s="2"/>
      <c r="L26" s="69" t="s">
        <v>40</v>
      </c>
    </row>
    <row r="27" spans="3:12" ht="15">
      <c r="C27" s="2"/>
      <c r="D27" s="2" t="s">
        <v>236</v>
      </c>
      <c r="E27" s="2"/>
      <c r="F27" s="2"/>
      <c r="G27" s="2"/>
      <c r="H27" s="2"/>
      <c r="I27" s="2"/>
      <c r="J27" s="2"/>
      <c r="K27" s="2"/>
      <c r="L27" s="69" t="s">
        <v>449</v>
      </c>
    </row>
    <row r="28" spans="3:12" ht="15">
      <c r="C28" s="2"/>
      <c r="D28" s="2" t="s">
        <v>100</v>
      </c>
      <c r="E28" s="2"/>
      <c r="F28" s="2"/>
      <c r="G28" s="2"/>
      <c r="H28" s="2"/>
      <c r="I28" s="2"/>
      <c r="J28" s="2"/>
      <c r="K28" s="2"/>
      <c r="L28" s="69" t="s">
        <v>451</v>
      </c>
    </row>
    <row r="29" spans="3:12" ht="15">
      <c r="C29" s="2"/>
      <c r="D29" s="2" t="s">
        <v>289</v>
      </c>
      <c r="E29" s="2"/>
      <c r="F29" s="2"/>
      <c r="G29" s="2"/>
      <c r="H29" s="2"/>
      <c r="I29" s="2"/>
      <c r="J29" s="2"/>
      <c r="K29" s="2"/>
      <c r="L29" s="69" t="s">
        <v>481</v>
      </c>
    </row>
    <row r="30" spans="3:12" ht="15">
      <c r="C30" s="2"/>
      <c r="D30" s="2" t="s">
        <v>237</v>
      </c>
      <c r="E30" s="2"/>
      <c r="F30" s="2"/>
      <c r="G30" s="2"/>
      <c r="H30" s="2"/>
      <c r="I30" s="2"/>
      <c r="J30" s="2"/>
      <c r="K30" s="2"/>
      <c r="L30" s="69" t="s">
        <v>39</v>
      </c>
    </row>
    <row r="31" spans="3:12" ht="15">
      <c r="C31" s="2"/>
      <c r="D31" s="2" t="s">
        <v>447</v>
      </c>
      <c r="L31" s="69" t="s">
        <v>12</v>
      </c>
    </row>
    <row r="32" spans="3:12" ht="15">
      <c r="C32" s="2"/>
      <c r="D32" s="2" t="s">
        <v>115</v>
      </c>
      <c r="L32" s="69" t="s">
        <v>60</v>
      </c>
    </row>
    <row r="33" spans="3:12" ht="15">
      <c r="C33" s="2"/>
      <c r="D33" s="2"/>
      <c r="L33" s="69"/>
    </row>
    <row r="34" spans="3:12" ht="15.75">
      <c r="C34" s="5" t="s">
        <v>576</v>
      </c>
      <c r="D34" s="2"/>
      <c r="L34" s="69" t="s">
        <v>73</v>
      </c>
    </row>
    <row r="35" spans="3:12" ht="15">
      <c r="C35" s="2"/>
      <c r="D35" s="2"/>
      <c r="L35" s="69"/>
    </row>
    <row r="36" spans="3:12" ht="15">
      <c r="C36" s="2"/>
      <c r="D36" s="2" t="s">
        <v>563</v>
      </c>
      <c r="L36" s="69" t="s">
        <v>76</v>
      </c>
    </row>
    <row r="37" spans="3:12" ht="15">
      <c r="C37" s="2"/>
      <c r="D37" s="2" t="s">
        <v>156</v>
      </c>
      <c r="L37" s="69" t="s">
        <v>101</v>
      </c>
    </row>
    <row r="38" spans="3:12" ht="15.75">
      <c r="C38" s="2"/>
      <c r="D38" s="7"/>
      <c r="E38" s="2"/>
      <c r="F38" s="2"/>
      <c r="G38" s="2"/>
      <c r="H38" s="2"/>
      <c r="I38" s="2"/>
      <c r="J38" s="2"/>
      <c r="K38" s="2"/>
      <c r="L38" s="69"/>
    </row>
    <row r="39" spans="3:12" ht="15.75">
      <c r="C39" s="5" t="s">
        <v>446</v>
      </c>
      <c r="D39" s="2"/>
      <c r="E39" s="2"/>
      <c r="F39" s="2"/>
      <c r="G39" s="2"/>
      <c r="H39" s="2"/>
      <c r="I39" s="2"/>
      <c r="J39" s="2"/>
      <c r="K39" s="2"/>
      <c r="L39" s="69" t="s">
        <v>238</v>
      </c>
    </row>
    <row r="40" spans="3:12" ht="15.75">
      <c r="C40" s="5"/>
      <c r="D40" s="2"/>
      <c r="E40" s="2"/>
      <c r="F40" s="2"/>
      <c r="G40" s="2"/>
      <c r="H40" s="2"/>
      <c r="I40" s="2"/>
      <c r="J40" s="2"/>
      <c r="K40" s="2"/>
      <c r="L40" s="69"/>
    </row>
    <row r="41" spans="3:12" ht="15.75">
      <c r="C41" s="5"/>
      <c r="D41" s="2" t="s">
        <v>450</v>
      </c>
      <c r="E41" s="2"/>
      <c r="F41" s="2"/>
      <c r="G41" s="2"/>
      <c r="H41" s="2"/>
      <c r="I41" s="2"/>
      <c r="J41" s="2"/>
      <c r="K41" s="2"/>
      <c r="L41" s="69" t="s">
        <v>239</v>
      </c>
    </row>
    <row r="42" spans="3:12" ht="15.75">
      <c r="C42" s="5"/>
      <c r="D42" s="2" t="s">
        <v>461</v>
      </c>
      <c r="E42" s="2"/>
      <c r="F42" s="2"/>
      <c r="G42" s="2"/>
      <c r="H42" s="2"/>
      <c r="I42" s="2"/>
      <c r="J42" s="2"/>
      <c r="K42" s="2"/>
      <c r="L42" s="69" t="s">
        <v>240</v>
      </c>
    </row>
    <row r="43" spans="3:12" ht="15.75">
      <c r="C43" s="5"/>
      <c r="D43" s="2" t="s">
        <v>519</v>
      </c>
      <c r="E43" s="2"/>
      <c r="F43" s="2"/>
      <c r="G43" s="2"/>
      <c r="H43" s="2"/>
      <c r="I43" s="2"/>
      <c r="J43" s="2"/>
      <c r="K43" s="2"/>
      <c r="L43" s="69" t="s">
        <v>157</v>
      </c>
    </row>
    <row r="44" spans="3:12" ht="15">
      <c r="C44" s="2"/>
      <c r="D44" s="2"/>
      <c r="E44" s="2"/>
      <c r="F44" s="2"/>
      <c r="G44" s="2"/>
      <c r="H44" s="2"/>
      <c r="I44" s="2"/>
      <c r="J44" s="2"/>
      <c r="K44" s="2"/>
      <c r="L44" s="69"/>
    </row>
    <row r="45" spans="3:12" ht="15">
      <c r="C45" s="2"/>
      <c r="D45" s="2"/>
      <c r="E45" s="2"/>
      <c r="F45" s="2"/>
      <c r="G45" s="2"/>
      <c r="H45" s="2"/>
      <c r="I45" s="2"/>
      <c r="J45" s="2"/>
      <c r="K45" s="2"/>
      <c r="L45" s="69"/>
    </row>
    <row r="46" spans="1:12" ht="15">
      <c r="A46" s="14" t="s">
        <v>492</v>
      </c>
      <c r="C46" s="2"/>
      <c r="D46" s="2"/>
      <c r="E46" s="2"/>
      <c r="F46" s="2"/>
      <c r="G46" s="2"/>
      <c r="H46" s="2"/>
      <c r="I46" s="2"/>
      <c r="J46" s="2"/>
      <c r="K46" s="2"/>
      <c r="L46" s="2"/>
    </row>
    <row r="47" spans="1:13" ht="13.5">
      <c r="A47" s="331" t="s">
        <v>0</v>
      </c>
      <c r="B47" s="331"/>
      <c r="C47" s="331"/>
      <c r="D47" s="331"/>
      <c r="E47" s="331"/>
      <c r="F47" s="331"/>
      <c r="G47" s="331"/>
      <c r="H47" s="331"/>
      <c r="I47" s="331"/>
      <c r="J47" s="331"/>
      <c r="K47" s="331"/>
      <c r="L47" s="331"/>
      <c r="M47" s="331"/>
    </row>
    <row r="48" spans="1:13" ht="13.5">
      <c r="A48" s="331"/>
      <c r="B48" s="331"/>
      <c r="C48" s="331"/>
      <c r="D48" s="331"/>
      <c r="E48" s="331"/>
      <c r="F48" s="331"/>
      <c r="G48" s="331"/>
      <c r="H48" s="331"/>
      <c r="I48" s="331"/>
      <c r="J48" s="331"/>
      <c r="K48" s="331"/>
      <c r="L48" s="331"/>
      <c r="M48" s="331"/>
    </row>
    <row r="49" spans="1:13" ht="13.5">
      <c r="A49" s="331"/>
      <c r="B49" s="331"/>
      <c r="C49" s="331"/>
      <c r="D49" s="331"/>
      <c r="E49" s="331"/>
      <c r="F49" s="331"/>
      <c r="G49" s="331"/>
      <c r="H49" s="331"/>
      <c r="I49" s="331"/>
      <c r="J49" s="331"/>
      <c r="K49" s="331"/>
      <c r="L49" s="331"/>
      <c r="M49" s="331"/>
    </row>
    <row r="50" spans="1:13" ht="13.5">
      <c r="A50" s="331"/>
      <c r="B50" s="331"/>
      <c r="C50" s="331"/>
      <c r="D50" s="331"/>
      <c r="E50" s="331"/>
      <c r="F50" s="331"/>
      <c r="G50" s="331"/>
      <c r="H50" s="331"/>
      <c r="I50" s="331"/>
      <c r="J50" s="331"/>
      <c r="K50" s="331"/>
      <c r="L50" s="331"/>
      <c r="M50" s="331"/>
    </row>
    <row r="51" spans="1:13" ht="13.5">
      <c r="A51" s="331"/>
      <c r="B51" s="331"/>
      <c r="C51" s="331"/>
      <c r="D51" s="331"/>
      <c r="E51" s="331"/>
      <c r="F51" s="331"/>
      <c r="G51" s="331"/>
      <c r="H51" s="331"/>
      <c r="I51" s="331"/>
      <c r="J51" s="331"/>
      <c r="K51" s="331"/>
      <c r="L51" s="331"/>
      <c r="M51" s="331"/>
    </row>
    <row r="52" spans="1:13" ht="13.5">
      <c r="A52" s="331"/>
      <c r="B52" s="331"/>
      <c r="C52" s="331"/>
      <c r="D52" s="331"/>
      <c r="E52" s="331"/>
      <c r="F52" s="331"/>
      <c r="G52" s="331"/>
      <c r="H52" s="331"/>
      <c r="I52" s="331"/>
      <c r="J52" s="331"/>
      <c r="K52" s="331"/>
      <c r="L52" s="331"/>
      <c r="M52" s="331"/>
    </row>
  </sheetData>
  <mergeCells count="1">
    <mergeCell ref="A47:M52"/>
  </mergeCells>
  <printOptions horizontalCentered="1" verticalCentered="1"/>
  <pageMargins left="0.75" right="0.75" top="1" bottom="0.63" header="0.5" footer="0.5"/>
  <pageSetup horizontalDpi="600" verticalDpi="600" orientation="landscape" scale="64" r:id="rId2"/>
  <headerFooter alignWithMargins="0">
    <oddHeader>&amp;L&amp;G&amp;C&amp;"Optima,Bold"&amp;18FINANCIAL SUPPLEMENT
TABLE OF CONTENTS</oddHeader>
    <oddFooter>&amp;C&amp;"Optima,Regular"1</oddFooter>
  </headerFooter>
  <legacyDrawingHF r:id="rId1"/>
</worksheet>
</file>

<file path=xl/worksheets/sheet20.xml><?xml version="1.0" encoding="utf-8"?>
<worksheet xmlns="http://schemas.openxmlformats.org/spreadsheetml/2006/main" xmlns:r="http://schemas.openxmlformats.org/officeDocument/2006/relationships">
  <sheetPr codeName="Sheet16"/>
  <dimension ref="A1:O45"/>
  <sheetViews>
    <sheetView workbookViewId="0" topLeftCell="A1">
      <pane xSplit="1" ySplit="2" topLeftCell="B16" activePane="bottomRight" state="frozen"/>
      <selection pane="topLeft" activeCell="B23" sqref="B23"/>
      <selection pane="topRight" activeCell="B23" sqref="B23"/>
      <selection pane="bottomLeft" activeCell="B23" sqref="B23"/>
      <selection pane="bottomRight" activeCell="C32" sqref="C32"/>
    </sheetView>
  </sheetViews>
  <sheetFormatPr defaultColWidth="9.140625" defaultRowHeight="12.75"/>
  <cols>
    <col min="1" max="1" width="32.57421875" style="1" customWidth="1"/>
    <col min="2" max="2" width="3.28125" style="1" customWidth="1"/>
    <col min="3" max="3" width="16.7109375" style="1" customWidth="1"/>
    <col min="4" max="4" width="6.00390625" style="1" customWidth="1"/>
    <col min="5" max="5" width="16.7109375" style="1" customWidth="1"/>
    <col min="6" max="6" width="6.00390625" style="1" customWidth="1"/>
    <col min="7" max="7" width="16.7109375" style="1" customWidth="1"/>
    <col min="8" max="8" width="4.28125" style="1" customWidth="1"/>
    <col min="9" max="9" width="16.7109375" style="1" customWidth="1"/>
    <col min="10" max="10" width="4.28125" style="1" customWidth="1"/>
    <col min="11" max="11" width="16.7109375" style="1" customWidth="1"/>
    <col min="12" max="12" width="3.421875" style="56" customWidth="1"/>
    <col min="13" max="13" width="12.28125" style="1" bestFit="1" customWidth="1"/>
    <col min="14" max="14" width="10.7109375" style="1" bestFit="1" customWidth="1"/>
    <col min="15" max="16384" width="9.140625" style="1" customWidth="1"/>
  </cols>
  <sheetData>
    <row r="1" spans="3:14" ht="15.75">
      <c r="C1" s="12" t="s">
        <v>307</v>
      </c>
      <c r="E1" s="12" t="s">
        <v>307</v>
      </c>
      <c r="G1" s="12" t="s">
        <v>307</v>
      </c>
      <c r="I1" s="12" t="s">
        <v>307</v>
      </c>
      <c r="K1" s="12" t="s">
        <v>307</v>
      </c>
      <c r="M1" s="341" t="s">
        <v>32</v>
      </c>
      <c r="N1" s="341"/>
    </row>
    <row r="2" spans="3:15" ht="15.75">
      <c r="C2" s="199" t="s">
        <v>27</v>
      </c>
      <c r="D2" s="101"/>
      <c r="E2" s="111" t="s">
        <v>547</v>
      </c>
      <c r="F2" s="101"/>
      <c r="G2" s="111" t="s">
        <v>500</v>
      </c>
      <c r="H2" s="101"/>
      <c r="I2" s="111" t="s">
        <v>402</v>
      </c>
      <c r="J2" s="101"/>
      <c r="K2" s="111" t="s">
        <v>310</v>
      </c>
      <c r="L2" s="101"/>
      <c r="M2" s="12" t="s">
        <v>33</v>
      </c>
      <c r="N2" s="12" t="s">
        <v>34</v>
      </c>
      <c r="O2" s="56"/>
    </row>
    <row r="3" spans="3:15" ht="15.75">
      <c r="C3" s="199"/>
      <c r="D3" s="101"/>
      <c r="E3" s="111"/>
      <c r="F3" s="101"/>
      <c r="G3" s="111"/>
      <c r="H3" s="101"/>
      <c r="I3" s="111"/>
      <c r="J3" s="101"/>
      <c r="K3" s="111"/>
      <c r="L3" s="101"/>
      <c r="M3" s="12"/>
      <c r="N3" s="12"/>
      <c r="O3" s="56"/>
    </row>
    <row r="4" spans="1:12" ht="13.5">
      <c r="A4" s="14" t="s">
        <v>404</v>
      </c>
      <c r="B4" s="14"/>
      <c r="C4" s="18"/>
      <c r="D4" s="18"/>
      <c r="E4" s="18"/>
      <c r="F4" s="18"/>
      <c r="G4" s="18"/>
      <c r="H4" s="18"/>
      <c r="I4" s="18"/>
      <c r="J4" s="18"/>
      <c r="K4" s="18"/>
      <c r="L4" s="89"/>
    </row>
    <row r="5" spans="1:14" ht="13.5">
      <c r="A5" s="28" t="s">
        <v>532</v>
      </c>
      <c r="B5" s="28"/>
      <c r="C5" s="26">
        <v>1513795</v>
      </c>
      <c r="D5" s="18"/>
      <c r="E5" s="26">
        <v>733885</v>
      </c>
      <c r="F5" s="18"/>
      <c r="G5" s="26">
        <v>600457</v>
      </c>
      <c r="H5" s="18"/>
      <c r="I5" s="26">
        <v>550988</v>
      </c>
      <c r="J5" s="18"/>
      <c r="K5" s="26">
        <f>825802+209989</f>
        <v>1035791</v>
      </c>
      <c r="L5" s="89"/>
      <c r="M5" s="99">
        <f>(C5-E5)/E5</f>
        <v>1.0627141854650253</v>
      </c>
      <c r="N5" s="99">
        <f>(C5-K5)/K5</f>
        <v>0.461486921589394</v>
      </c>
    </row>
    <row r="6" spans="1:14" ht="13.5">
      <c r="A6" s="28" t="s">
        <v>108</v>
      </c>
      <c r="B6" s="28"/>
      <c r="C6" s="18">
        <v>0</v>
      </c>
      <c r="D6" s="18"/>
      <c r="E6" s="18">
        <v>0</v>
      </c>
      <c r="F6" s="18"/>
      <c r="G6" s="18">
        <v>0</v>
      </c>
      <c r="H6" s="18"/>
      <c r="I6" s="18">
        <v>0</v>
      </c>
      <c r="J6" s="18"/>
      <c r="K6" s="18">
        <v>253698</v>
      </c>
      <c r="L6" s="89"/>
      <c r="M6" s="99" t="s">
        <v>80</v>
      </c>
      <c r="N6" s="99">
        <f>(C6-K6)/K6</f>
        <v>-1</v>
      </c>
    </row>
    <row r="7" spans="3:14" ht="13.5">
      <c r="C7" s="312">
        <f>SUM(C5:C6)</f>
        <v>1513795</v>
      </c>
      <c r="D7" s="30"/>
      <c r="E7" s="312">
        <f>SUM(E5:E6)</f>
        <v>733885</v>
      </c>
      <c r="F7" s="312"/>
      <c r="G7" s="312">
        <f>SUM(G5:G6)</f>
        <v>600457</v>
      </c>
      <c r="H7" s="312"/>
      <c r="I7" s="312">
        <f>SUM(I5:I6)</f>
        <v>550988</v>
      </c>
      <c r="J7" s="312"/>
      <c r="K7" s="312">
        <f>SUM(K5:K6)</f>
        <v>1289489</v>
      </c>
      <c r="L7" s="17"/>
      <c r="M7" s="283">
        <f>(C7-E7)/E7</f>
        <v>1.0627141854650253</v>
      </c>
      <c r="N7" s="283">
        <f>(C7-K7)/K7</f>
        <v>0.17394952574236772</v>
      </c>
    </row>
    <row r="8" spans="3:14" ht="13.5">
      <c r="C8" s="18"/>
      <c r="D8" s="18"/>
      <c r="E8" s="18"/>
      <c r="F8" s="18"/>
      <c r="G8" s="18"/>
      <c r="H8" s="18"/>
      <c r="I8" s="18"/>
      <c r="J8" s="18"/>
      <c r="K8" s="18"/>
      <c r="L8" s="89"/>
      <c r="M8" s="99"/>
      <c r="N8" s="99"/>
    </row>
    <row r="9" spans="1:14" ht="13.5">
      <c r="A9" s="14" t="s">
        <v>405</v>
      </c>
      <c r="B9" s="14"/>
      <c r="C9" s="18"/>
      <c r="D9" s="18"/>
      <c r="E9" s="18"/>
      <c r="F9" s="18"/>
      <c r="G9" s="18"/>
      <c r="H9" s="18"/>
      <c r="I9" s="18"/>
      <c r="J9" s="18"/>
      <c r="K9" s="18"/>
      <c r="L9" s="89"/>
      <c r="M9" s="99"/>
      <c r="N9" s="99"/>
    </row>
    <row r="10" spans="1:14" ht="13.5">
      <c r="A10" s="28" t="s">
        <v>532</v>
      </c>
      <c r="B10" s="28"/>
      <c r="C10" s="313">
        <v>1259370</v>
      </c>
      <c r="D10" s="313"/>
      <c r="E10" s="313">
        <v>544008</v>
      </c>
      <c r="F10" s="313"/>
      <c r="G10" s="313">
        <v>506459</v>
      </c>
      <c r="H10" s="313"/>
      <c r="I10" s="313">
        <v>467511</v>
      </c>
      <c r="J10" s="313"/>
      <c r="K10" s="313">
        <f>704581+166720</f>
        <v>871301</v>
      </c>
      <c r="L10" s="89"/>
      <c r="M10" s="99">
        <f>(C10-E10)/E10</f>
        <v>1.3149843384656108</v>
      </c>
      <c r="N10" s="99">
        <f>(C10-K10)/K10</f>
        <v>0.44539028418422566</v>
      </c>
    </row>
    <row r="11" spans="1:14" ht="13.5">
      <c r="A11" s="28" t="s">
        <v>108</v>
      </c>
      <c r="B11" s="28"/>
      <c r="C11" s="18">
        <v>0</v>
      </c>
      <c r="D11" s="18"/>
      <c r="E11" s="18">
        <v>0</v>
      </c>
      <c r="F11" s="18"/>
      <c r="G11" s="18"/>
      <c r="H11" s="18"/>
      <c r="I11" s="18">
        <v>0</v>
      </c>
      <c r="J11" s="18"/>
      <c r="K11" s="18">
        <v>175055</v>
      </c>
      <c r="L11" s="89"/>
      <c r="M11" s="99" t="s">
        <v>80</v>
      </c>
      <c r="N11" s="99">
        <f>(C11-K11)/K11</f>
        <v>-1</v>
      </c>
    </row>
    <row r="12" spans="3:14" ht="13.5">
      <c r="C12" s="312">
        <f>SUM(C10:C11)</f>
        <v>1259370</v>
      </c>
      <c r="D12" s="312"/>
      <c r="E12" s="312">
        <f>SUM(E10:E11)</f>
        <v>544008</v>
      </c>
      <c r="F12" s="312"/>
      <c r="G12" s="312">
        <f>SUM(G10:G11)</f>
        <v>506459</v>
      </c>
      <c r="H12" s="312"/>
      <c r="I12" s="312">
        <f>SUM(I10:I11)</f>
        <v>467511</v>
      </c>
      <c r="J12" s="312"/>
      <c r="K12" s="312">
        <f>SUM(K10:K11)</f>
        <v>1046356</v>
      </c>
      <c r="L12" s="17"/>
      <c r="M12" s="283">
        <f>(C12-E12)/E12</f>
        <v>1.3149843384656108</v>
      </c>
      <c r="N12" s="283">
        <f>(C12-K12)/K12</f>
        <v>0.20357698527078738</v>
      </c>
    </row>
    <row r="13" spans="3:14" ht="13.5">
      <c r="C13" s="18"/>
      <c r="D13" s="18"/>
      <c r="E13" s="18"/>
      <c r="F13" s="18"/>
      <c r="G13" s="18"/>
      <c r="H13" s="18"/>
      <c r="I13" s="18"/>
      <c r="J13" s="18"/>
      <c r="K13" s="18"/>
      <c r="L13" s="89"/>
      <c r="M13" s="99"/>
      <c r="N13" s="99"/>
    </row>
    <row r="14" spans="1:14" ht="13.5">
      <c r="A14" s="14" t="s">
        <v>406</v>
      </c>
      <c r="B14" s="14"/>
      <c r="C14" s="313">
        <v>550660</v>
      </c>
      <c r="D14" s="313"/>
      <c r="E14" s="313">
        <v>643739</v>
      </c>
      <c r="F14" s="313"/>
      <c r="G14" s="313">
        <v>506569</v>
      </c>
      <c r="H14" s="313"/>
      <c r="I14" s="313">
        <v>495300</v>
      </c>
      <c r="J14" s="313"/>
      <c r="K14" s="313">
        <v>421167</v>
      </c>
      <c r="L14" s="89"/>
      <c r="M14" s="99">
        <f>(C14-E14)/E14</f>
        <v>-0.14459120854880628</v>
      </c>
      <c r="N14" s="99">
        <f>(C14-K14)/K14</f>
        <v>0.3074623605363193</v>
      </c>
    </row>
    <row r="15" spans="3:14" ht="13.5">
      <c r="C15" s="313"/>
      <c r="D15" s="313"/>
      <c r="E15" s="313"/>
      <c r="F15" s="313"/>
      <c r="G15" s="313"/>
      <c r="H15" s="313"/>
      <c r="I15" s="313"/>
      <c r="J15" s="313"/>
      <c r="K15" s="313"/>
      <c r="L15" s="89"/>
      <c r="M15" s="28"/>
      <c r="N15" s="28"/>
    </row>
    <row r="16" spans="1:14" ht="13.5">
      <c r="A16" s="14" t="s">
        <v>395</v>
      </c>
      <c r="B16" s="14"/>
      <c r="C16" s="313">
        <v>11450</v>
      </c>
      <c r="D16" s="313"/>
      <c r="E16" s="313">
        <v>-1668</v>
      </c>
      <c r="F16" s="313"/>
      <c r="G16" s="313">
        <v>3464</v>
      </c>
      <c r="H16" s="313"/>
      <c r="I16" s="313">
        <v>8506</v>
      </c>
      <c r="J16" s="313"/>
      <c r="K16" s="313">
        <v>899</v>
      </c>
      <c r="L16" s="89"/>
      <c r="M16" s="99" t="s">
        <v>80</v>
      </c>
      <c r="N16" s="99" t="s">
        <v>80</v>
      </c>
    </row>
    <row r="17" spans="3:14" ht="13.5">
      <c r="C17" s="313"/>
      <c r="D17" s="313"/>
      <c r="E17" s="313"/>
      <c r="F17" s="313"/>
      <c r="G17" s="313"/>
      <c r="H17" s="313"/>
      <c r="I17" s="313"/>
      <c r="J17" s="313"/>
      <c r="K17" s="313"/>
      <c r="L17" s="89"/>
      <c r="M17" s="28"/>
      <c r="N17" s="28"/>
    </row>
    <row r="18" spans="1:14" ht="13.5">
      <c r="A18" s="14" t="s">
        <v>336</v>
      </c>
      <c r="B18" s="14"/>
      <c r="C18" s="313"/>
      <c r="D18" s="313"/>
      <c r="E18" s="313"/>
      <c r="F18" s="313"/>
      <c r="G18" s="313"/>
      <c r="H18" s="313"/>
      <c r="I18" s="313"/>
      <c r="J18" s="313"/>
      <c r="K18" s="313"/>
      <c r="L18" s="89"/>
      <c r="M18" s="28"/>
      <c r="N18" s="28"/>
    </row>
    <row r="19" spans="1:14" ht="13.5">
      <c r="A19" s="28" t="s">
        <v>532</v>
      </c>
      <c r="B19" s="28"/>
      <c r="C19" s="313">
        <v>350506</v>
      </c>
      <c r="D19" s="313"/>
      <c r="E19" s="313">
        <f>314322+18905</f>
        <v>333227</v>
      </c>
      <c r="F19" s="313"/>
      <c r="G19" s="313">
        <v>316645</v>
      </c>
      <c r="H19" s="313"/>
      <c r="I19" s="313">
        <f>257261+43300</f>
        <v>300561</v>
      </c>
      <c r="J19" s="313"/>
      <c r="K19" s="313">
        <v>264632</v>
      </c>
      <c r="L19" s="89"/>
      <c r="M19" s="99">
        <f>(C19-E19)/E19</f>
        <v>0.051853541279668215</v>
      </c>
      <c r="N19" s="99">
        <f>(C19-K19)/K19</f>
        <v>0.3245034614105626</v>
      </c>
    </row>
    <row r="20" spans="1:14" ht="13.5">
      <c r="A20" s="28" t="s">
        <v>109</v>
      </c>
      <c r="B20" s="28"/>
      <c r="C20" s="18">
        <v>0</v>
      </c>
      <c r="D20" s="18"/>
      <c r="E20" s="18">
        <v>215000</v>
      </c>
      <c r="F20" s="18"/>
      <c r="G20" s="18">
        <v>0</v>
      </c>
      <c r="H20" s="18"/>
      <c r="I20" s="18">
        <v>0</v>
      </c>
      <c r="J20" s="18"/>
      <c r="K20" s="18">
        <v>0</v>
      </c>
      <c r="L20" s="89"/>
      <c r="M20" s="99">
        <f>(C20-E20)/E20</f>
        <v>-1</v>
      </c>
      <c r="N20" s="99" t="s">
        <v>80</v>
      </c>
    </row>
    <row r="21" spans="1:14" ht="13.5">
      <c r="A21" s="28" t="s">
        <v>421</v>
      </c>
      <c r="B21" s="28"/>
      <c r="C21" s="18">
        <v>0</v>
      </c>
      <c r="D21" s="18"/>
      <c r="E21" s="18">
        <v>0</v>
      </c>
      <c r="F21" s="18"/>
      <c r="G21" s="18">
        <v>0</v>
      </c>
      <c r="H21" s="18"/>
      <c r="I21" s="18">
        <v>127000</v>
      </c>
      <c r="J21" s="18"/>
      <c r="K21" s="18">
        <v>0</v>
      </c>
      <c r="L21" s="89"/>
      <c r="M21" s="99" t="s">
        <v>80</v>
      </c>
      <c r="N21" s="99" t="s">
        <v>80</v>
      </c>
    </row>
    <row r="22" spans="3:14" ht="13.5">
      <c r="C22" s="312">
        <f>SUM(C19:C21)</f>
        <v>350506</v>
      </c>
      <c r="D22" s="312"/>
      <c r="E22" s="312">
        <f>SUM(E19:E21)</f>
        <v>548227</v>
      </c>
      <c r="F22" s="312"/>
      <c r="G22" s="312">
        <f>SUM(G19:G21)</f>
        <v>316645</v>
      </c>
      <c r="H22" s="312"/>
      <c r="I22" s="312">
        <f>SUM(I19:I21)</f>
        <v>427561</v>
      </c>
      <c r="J22" s="312"/>
      <c r="K22" s="312">
        <f>SUM(K19:K21)</f>
        <v>264632</v>
      </c>
      <c r="L22" s="17"/>
      <c r="M22" s="283">
        <f>(C22-E22)/E22</f>
        <v>-0.36065534897040824</v>
      </c>
      <c r="N22" s="283">
        <f>(C22-K22)/K22</f>
        <v>0.3245034614105626</v>
      </c>
    </row>
    <row r="23" spans="13:14" ht="13.5">
      <c r="M23" s="28"/>
      <c r="N23" s="28"/>
    </row>
    <row r="24" spans="1:14" ht="13.5">
      <c r="A24" s="14" t="s">
        <v>397</v>
      </c>
      <c r="B24" s="14"/>
      <c r="C24" s="313">
        <v>104649</v>
      </c>
      <c r="D24" s="313"/>
      <c r="E24" s="313">
        <v>147882</v>
      </c>
      <c r="F24" s="313"/>
      <c r="G24" s="313">
        <v>113909</v>
      </c>
      <c r="H24" s="313"/>
      <c r="I24" s="313">
        <v>100295</v>
      </c>
      <c r="J24" s="313"/>
      <c r="K24" s="313">
        <v>92214</v>
      </c>
      <c r="L24" s="89"/>
      <c r="M24" s="99">
        <f>(C24-E24)/E24</f>
        <v>-0.2923479530977401</v>
      </c>
      <c r="N24" s="99">
        <f>(C24-K24)/K24</f>
        <v>0.13484937211269438</v>
      </c>
    </row>
    <row r="25" spans="3:14" ht="13.5">
      <c r="C25" s="313"/>
      <c r="D25" s="313"/>
      <c r="E25" s="313"/>
      <c r="F25" s="313"/>
      <c r="G25" s="313"/>
      <c r="H25" s="313"/>
      <c r="I25" s="313"/>
      <c r="J25" s="313"/>
      <c r="K25" s="313"/>
      <c r="M25" s="28"/>
      <c r="N25" s="28"/>
    </row>
    <row r="26" spans="1:14" ht="13.5">
      <c r="A26" s="14" t="s">
        <v>398</v>
      </c>
      <c r="B26" s="14"/>
      <c r="C26" s="313">
        <v>34560</v>
      </c>
      <c r="D26" s="313"/>
      <c r="E26" s="313">
        <v>30145</v>
      </c>
      <c r="F26" s="313"/>
      <c r="G26" s="313">
        <v>29944</v>
      </c>
      <c r="H26" s="313"/>
      <c r="I26" s="313">
        <v>31021</v>
      </c>
      <c r="J26" s="313"/>
      <c r="K26" s="313">
        <v>18686</v>
      </c>
      <c r="L26" s="89"/>
      <c r="M26" s="99">
        <f>(C26-E26)/E26</f>
        <v>0.14645878255100347</v>
      </c>
      <c r="N26" s="99">
        <f>(C26-K26)/K26</f>
        <v>0.8495130043883121</v>
      </c>
    </row>
    <row r="27" spans="3:11" ht="13.5">
      <c r="C27" s="313"/>
      <c r="D27" s="313"/>
      <c r="E27" s="313"/>
      <c r="F27" s="313"/>
      <c r="G27" s="313"/>
      <c r="H27" s="313"/>
      <c r="I27" s="313"/>
      <c r="J27" s="313"/>
      <c r="K27" s="313"/>
    </row>
    <row r="28" spans="1:14" ht="13.5">
      <c r="A28" s="14" t="s">
        <v>469</v>
      </c>
      <c r="B28" s="14"/>
      <c r="C28" s="313">
        <v>-10419</v>
      </c>
      <c r="D28" s="313"/>
      <c r="E28" s="313">
        <v>-7896</v>
      </c>
      <c r="F28" s="313"/>
      <c r="G28" s="313">
        <v>-8614</v>
      </c>
      <c r="H28" s="313"/>
      <c r="I28" s="313">
        <v>-1025</v>
      </c>
      <c r="J28" s="313"/>
      <c r="K28" s="313">
        <v>-6252</v>
      </c>
      <c r="L28" s="89"/>
      <c r="M28" s="99"/>
      <c r="N28" s="99"/>
    </row>
    <row r="29" spans="3:12" ht="13.5">
      <c r="C29" s="18"/>
      <c r="D29" s="18"/>
      <c r="E29" s="18"/>
      <c r="F29" s="18"/>
      <c r="G29" s="18"/>
      <c r="H29" s="18"/>
      <c r="I29" s="18"/>
      <c r="J29" s="18"/>
      <c r="K29" s="18"/>
      <c r="L29" s="89"/>
    </row>
    <row r="30" spans="1:12" ht="13.5">
      <c r="A30" s="14" t="s">
        <v>342</v>
      </c>
      <c r="B30" s="14"/>
      <c r="C30" s="37">
        <f>C14+C16-C22-C24-C26-C28</f>
        <v>82814</v>
      </c>
      <c r="D30" s="37"/>
      <c r="E30" s="37">
        <f>E14+E16-E22-E24-E26-E28</f>
        <v>-76287</v>
      </c>
      <c r="F30" s="37"/>
      <c r="G30" s="37">
        <f>G14+G16-G22-G24-G26-G28</f>
        <v>58149</v>
      </c>
      <c r="H30" s="37"/>
      <c r="I30" s="37">
        <f>I14+I16-I22-I24-I26-I28</f>
        <v>-54046</v>
      </c>
      <c r="J30" s="37"/>
      <c r="K30" s="37">
        <f>K14+K16-K22-K24-K26-K28</f>
        <v>52786</v>
      </c>
      <c r="L30" s="84"/>
    </row>
    <row r="32" spans="1:2" ht="13.5">
      <c r="A32" s="38" t="s">
        <v>207</v>
      </c>
      <c r="B32" s="60"/>
    </row>
    <row r="33" spans="1:12" ht="13.5">
      <c r="A33" s="1" t="s">
        <v>343</v>
      </c>
      <c r="C33" s="32">
        <f>+(C22-C21)/C14</f>
        <v>0.6365198125885301</v>
      </c>
      <c r="D33" s="32"/>
      <c r="E33" s="32">
        <f>+(E22-E21)/E14</f>
        <v>0.8516293093940246</v>
      </c>
      <c r="F33" s="32"/>
      <c r="G33" s="32">
        <f>+(G22-G21)/G14</f>
        <v>0.6250777287990382</v>
      </c>
      <c r="H33" s="32"/>
      <c r="I33" s="32">
        <f>+(I22-I21)/I14</f>
        <v>0.6068261659600243</v>
      </c>
      <c r="J33" s="32"/>
      <c r="K33" s="32">
        <f>+(K22-K21)/K14</f>
        <v>0.6283303297741751</v>
      </c>
      <c r="L33" s="40"/>
    </row>
    <row r="34" spans="1:12" ht="13.5">
      <c r="A34" s="1" t="s">
        <v>344</v>
      </c>
      <c r="C34" s="32">
        <f>C24/C14</f>
        <v>0.19004285766171503</v>
      </c>
      <c r="D34" s="32"/>
      <c r="E34" s="32">
        <f>E24/E14</f>
        <v>0.22972353702354525</v>
      </c>
      <c r="F34" s="32"/>
      <c r="G34" s="32">
        <f>G24/G14</f>
        <v>0.22486374018149552</v>
      </c>
      <c r="H34" s="32"/>
      <c r="I34" s="32">
        <f>I24/I14</f>
        <v>0.20249343832020997</v>
      </c>
      <c r="J34" s="32"/>
      <c r="K34" s="32">
        <f>K24/K14</f>
        <v>0.21894877803816537</v>
      </c>
      <c r="L34" s="40"/>
    </row>
    <row r="35" spans="1:12" ht="13.5">
      <c r="A35" s="1" t="s">
        <v>345</v>
      </c>
      <c r="C35" s="32">
        <f>C26/C14-0.001</f>
        <v>0.061761050375912535</v>
      </c>
      <c r="D35" s="32"/>
      <c r="E35" s="32">
        <f>E26/E14-0.001</f>
        <v>0.04582798463352383</v>
      </c>
      <c r="F35" s="32"/>
      <c r="G35" s="32">
        <f>G26/G14</f>
        <v>0.059111394499071206</v>
      </c>
      <c r="H35" s="32"/>
      <c r="I35" s="32">
        <f>I26/I14</f>
        <v>0.06263072885120129</v>
      </c>
      <c r="J35" s="32"/>
      <c r="K35" s="32">
        <f>K26/K14+0.001</f>
        <v>0.04536719875963691</v>
      </c>
      <c r="L35" s="40"/>
    </row>
    <row r="36" spans="1:12" ht="14.25" thickBot="1">
      <c r="A36" s="1" t="s">
        <v>346</v>
      </c>
      <c r="C36" s="39">
        <f>SUM(C33:C35)+0.001</f>
        <v>0.8893237206261576</v>
      </c>
      <c r="D36" s="39"/>
      <c r="E36" s="39">
        <f>SUM(E33:E35)+0.001</f>
        <v>1.1281808310510937</v>
      </c>
      <c r="F36" s="39"/>
      <c r="G36" s="39">
        <f>SUM(G33:G35)</f>
        <v>0.909052863479605</v>
      </c>
      <c r="H36" s="39"/>
      <c r="I36" s="39">
        <f>SUM(I33:I35)</f>
        <v>0.8719503331314354</v>
      </c>
      <c r="J36" s="39"/>
      <c r="K36" s="39">
        <f>SUM(K33:K35)-0.001</f>
        <v>0.8916463065719774</v>
      </c>
      <c r="L36" s="40"/>
    </row>
    <row r="37" ht="14.25" thickTop="1"/>
    <row r="38" spans="1:2" ht="13.5">
      <c r="A38" s="38" t="s">
        <v>497</v>
      </c>
      <c r="B38" s="60"/>
    </row>
    <row r="39" spans="1:11" ht="13.5">
      <c r="A39" s="1" t="s">
        <v>343</v>
      </c>
      <c r="C39" s="87" t="s">
        <v>420</v>
      </c>
      <c r="D39" s="40"/>
      <c r="E39" s="87" t="s">
        <v>420</v>
      </c>
      <c r="F39" s="40"/>
      <c r="G39" s="87" t="s">
        <v>420</v>
      </c>
      <c r="H39" s="40"/>
      <c r="I39" s="40">
        <f>+I22/I14</f>
        <v>0.8632364223702806</v>
      </c>
      <c r="J39" s="40"/>
      <c r="K39" s="87" t="s">
        <v>420</v>
      </c>
    </row>
    <row r="40" spans="1:11" ht="13.5">
      <c r="A40" s="1" t="s">
        <v>346</v>
      </c>
      <c r="C40" s="87" t="s">
        <v>420</v>
      </c>
      <c r="D40" s="40"/>
      <c r="E40" s="87" t="s">
        <v>420</v>
      </c>
      <c r="F40" s="40"/>
      <c r="G40" s="87" t="s">
        <v>420</v>
      </c>
      <c r="H40" s="40"/>
      <c r="I40" s="40">
        <f>+I39+I34+I35</f>
        <v>1.128360589541692</v>
      </c>
      <c r="J40" s="40"/>
      <c r="K40" s="87" t="s">
        <v>420</v>
      </c>
    </row>
    <row r="42" ht="13.5">
      <c r="A42" s="14" t="s">
        <v>315</v>
      </c>
    </row>
    <row r="43" ht="13.5">
      <c r="A43" s="1" t="s">
        <v>110</v>
      </c>
    </row>
    <row r="44" ht="13.5">
      <c r="A44" s="1" t="s">
        <v>256</v>
      </c>
    </row>
    <row r="45" ht="13.5">
      <c r="A45" s="1" t="s">
        <v>209</v>
      </c>
    </row>
  </sheetData>
  <mergeCells count="1">
    <mergeCell ref="M1:N1"/>
  </mergeCells>
  <printOptions horizontalCentered="1" verticalCentered="1"/>
  <pageMargins left="0.5" right="0.5" top="1" bottom="0.53" header="0.5" footer="0.39"/>
  <pageSetup horizontalDpi="300" verticalDpi="300" orientation="landscape" scale="56" r:id="rId2"/>
  <headerFooter alignWithMargins="0">
    <oddHeader>&amp;L&amp;G&amp;C&amp;"Optima,Bold"&amp;18REINSURANCE SEGMENT - GENERAL OPERATIONS
&amp;"Optima,Regular"&amp;12(U.S. dollars in thousands)
(Unaudited)</oddHeader>
    <oddFooter>&amp;C&amp;"Optima,Regular"15</oddFooter>
  </headerFooter>
  <legacyDrawingHF r:id="rId1"/>
</worksheet>
</file>

<file path=xl/worksheets/sheet21.xml><?xml version="1.0" encoding="utf-8"?>
<worksheet xmlns="http://schemas.openxmlformats.org/spreadsheetml/2006/main" xmlns:r="http://schemas.openxmlformats.org/officeDocument/2006/relationships">
  <sheetPr codeName="Sheet17"/>
  <dimension ref="A2:N28"/>
  <sheetViews>
    <sheetView workbookViewId="0" topLeftCell="A3">
      <selection activeCell="A29" sqref="A29"/>
    </sheetView>
  </sheetViews>
  <sheetFormatPr defaultColWidth="9.140625" defaultRowHeight="12.75"/>
  <cols>
    <col min="1" max="1" width="25.421875" style="1" customWidth="1"/>
    <col min="2" max="2" width="6.7109375" style="1" customWidth="1"/>
    <col min="3" max="3" width="16.7109375" style="1" customWidth="1"/>
    <col min="4" max="4" width="5.57421875" style="1" customWidth="1"/>
    <col min="5" max="5" width="16.7109375" style="1" customWidth="1"/>
    <col min="6" max="6" width="5.57421875" style="1" customWidth="1"/>
    <col min="7" max="7" width="16.7109375" style="1" customWidth="1"/>
    <col min="8" max="8" width="3.421875" style="1" customWidth="1"/>
    <col min="9" max="9" width="16.7109375" style="1" customWidth="1"/>
    <col min="10" max="10" width="3.421875" style="1" customWidth="1"/>
    <col min="11" max="11" width="16.7109375" style="1" customWidth="1"/>
    <col min="12" max="12" width="3.8515625" style="1" customWidth="1"/>
    <col min="13" max="14" width="11.28125" style="56" customWidth="1"/>
    <col min="15" max="16384" width="9.140625" style="1" customWidth="1"/>
  </cols>
  <sheetData>
    <row r="2" spans="3:14" ht="15.75">
      <c r="C2" s="12" t="s">
        <v>307</v>
      </c>
      <c r="E2" s="12" t="s">
        <v>307</v>
      </c>
      <c r="G2" s="12" t="s">
        <v>307</v>
      </c>
      <c r="I2" s="12" t="s">
        <v>307</v>
      </c>
      <c r="K2" s="12" t="s">
        <v>307</v>
      </c>
      <c r="M2" s="341" t="s">
        <v>32</v>
      </c>
      <c r="N2" s="341"/>
    </row>
    <row r="3" spans="3:14" ht="15.75">
      <c r="C3" s="199" t="s">
        <v>27</v>
      </c>
      <c r="D3" s="101"/>
      <c r="E3" s="111" t="s">
        <v>547</v>
      </c>
      <c r="F3" s="101"/>
      <c r="G3" s="111" t="s">
        <v>500</v>
      </c>
      <c r="H3" s="101"/>
      <c r="I3" s="111" t="s">
        <v>402</v>
      </c>
      <c r="J3" s="101"/>
      <c r="K3" s="111" t="s">
        <v>310</v>
      </c>
      <c r="L3" s="101"/>
      <c r="M3" s="12" t="s">
        <v>33</v>
      </c>
      <c r="N3" s="12" t="s">
        <v>34</v>
      </c>
    </row>
    <row r="4" spans="3:14" ht="15.75">
      <c r="C4" s="111"/>
      <c r="D4" s="101"/>
      <c r="E4" s="111"/>
      <c r="F4" s="101"/>
      <c r="G4" s="111" t="s">
        <v>496</v>
      </c>
      <c r="H4" s="101"/>
      <c r="I4" s="111"/>
      <c r="J4" s="101"/>
      <c r="K4" s="111"/>
      <c r="L4" s="101"/>
      <c r="M4" s="1"/>
      <c r="N4" s="1"/>
    </row>
    <row r="5" spans="12:14" ht="13.5">
      <c r="L5" s="56"/>
      <c r="M5" s="99"/>
      <c r="N5" s="99"/>
    </row>
    <row r="6" spans="1:14" ht="13.5">
      <c r="A6" s="1" t="s">
        <v>404</v>
      </c>
      <c r="C6" s="26">
        <v>93137</v>
      </c>
      <c r="D6" s="26"/>
      <c r="E6" s="26">
        <v>151584</v>
      </c>
      <c r="F6" s="26"/>
      <c r="G6" s="26">
        <v>793074</v>
      </c>
      <c r="H6" s="26"/>
      <c r="I6" s="26">
        <v>19968</v>
      </c>
      <c r="J6" s="26"/>
      <c r="K6" s="26">
        <v>38528</v>
      </c>
      <c r="L6" s="56"/>
      <c r="M6" s="99">
        <f>(C6-E6)/E6</f>
        <v>-0.38557499472239815</v>
      </c>
      <c r="N6" s="99">
        <f>(C6-K6)/K6</f>
        <v>1.4173847591362125</v>
      </c>
    </row>
    <row r="7" spans="12:14" ht="13.5">
      <c r="L7" s="56"/>
      <c r="M7" s="99"/>
      <c r="N7" s="99"/>
    </row>
    <row r="8" spans="1:14" ht="13.5">
      <c r="A8" s="1" t="s">
        <v>405</v>
      </c>
      <c r="C8" s="26">
        <v>86189</v>
      </c>
      <c r="D8" s="26"/>
      <c r="E8" s="26">
        <v>143825</v>
      </c>
      <c r="F8" s="26"/>
      <c r="G8" s="26">
        <v>787503</v>
      </c>
      <c r="H8" s="26"/>
      <c r="I8" s="26">
        <v>11529</v>
      </c>
      <c r="J8" s="26"/>
      <c r="K8" s="26">
        <v>36968</v>
      </c>
      <c r="L8" s="56"/>
      <c r="M8" s="99">
        <f>(C8-E8)/E8</f>
        <v>-0.4007370067790718</v>
      </c>
      <c r="N8" s="99">
        <f>(C8-K8)/K8</f>
        <v>1.3314488206016013</v>
      </c>
    </row>
    <row r="9" spans="3:14" ht="13.5">
      <c r="C9" s="26"/>
      <c r="D9" s="26"/>
      <c r="E9" s="26"/>
      <c r="F9" s="26"/>
      <c r="G9" s="26"/>
      <c r="H9" s="26"/>
      <c r="I9" s="26"/>
      <c r="J9" s="26"/>
      <c r="K9" s="26"/>
      <c r="L9" s="56"/>
      <c r="M9" s="1"/>
      <c r="N9" s="1"/>
    </row>
    <row r="10" spans="3:14" ht="13.5">
      <c r="C10" s="26"/>
      <c r="D10" s="26"/>
      <c r="E10" s="26"/>
      <c r="F10" s="26"/>
      <c r="G10" s="26"/>
      <c r="H10" s="26"/>
      <c r="I10" s="26"/>
      <c r="J10" s="26"/>
      <c r="K10" s="26"/>
      <c r="L10" s="56"/>
      <c r="M10" s="99"/>
      <c r="N10" s="99"/>
    </row>
    <row r="11" spans="1:14" ht="13.5">
      <c r="A11" s="1" t="s">
        <v>406</v>
      </c>
      <c r="C11" s="26">
        <v>83237</v>
      </c>
      <c r="D11" s="26"/>
      <c r="E11" s="26">
        <v>144314</v>
      </c>
      <c r="F11" s="26"/>
      <c r="G11" s="26">
        <v>786383</v>
      </c>
      <c r="H11" s="26"/>
      <c r="I11" s="26">
        <v>10497</v>
      </c>
      <c r="J11" s="26"/>
      <c r="K11" s="26">
        <v>39193</v>
      </c>
      <c r="L11" s="56"/>
      <c r="M11" s="99">
        <f>(C11-E11)/E11</f>
        <v>-0.42322297213021604</v>
      </c>
      <c r="N11" s="99">
        <f>(C11-K11)/K11</f>
        <v>1.1237721021611002</v>
      </c>
    </row>
    <row r="12" spans="3:14" ht="13.5">
      <c r="C12" s="26"/>
      <c r="D12" s="26"/>
      <c r="E12" s="26"/>
      <c r="F12" s="26"/>
      <c r="G12" s="26"/>
      <c r="H12" s="26"/>
      <c r="I12" s="26"/>
      <c r="J12" s="26"/>
      <c r="K12" s="26"/>
      <c r="L12" s="56"/>
      <c r="M12" s="99"/>
      <c r="N12" s="99"/>
    </row>
    <row r="13" spans="1:14" ht="13.5">
      <c r="A13" s="1" t="s">
        <v>395</v>
      </c>
      <c r="C13" s="18">
        <v>0</v>
      </c>
      <c r="D13" s="18"/>
      <c r="E13" s="18">
        <v>0</v>
      </c>
      <c r="F13" s="18"/>
      <c r="G13" s="18">
        <v>0</v>
      </c>
      <c r="H13" s="18"/>
      <c r="I13" s="18">
        <v>0</v>
      </c>
      <c r="J13" s="18"/>
      <c r="K13" s="18">
        <v>2</v>
      </c>
      <c r="L13" s="56"/>
      <c r="M13" s="99" t="s">
        <v>80</v>
      </c>
      <c r="N13" s="99">
        <f>(C13-K13)/K13</f>
        <v>-1</v>
      </c>
    </row>
    <row r="14" spans="3:14" ht="13.5">
      <c r="C14" s="18"/>
      <c r="D14" s="18"/>
      <c r="E14" s="18"/>
      <c r="F14" s="18"/>
      <c r="G14" s="18"/>
      <c r="H14" s="18"/>
      <c r="I14" s="18"/>
      <c r="J14" s="18"/>
      <c r="K14" s="18"/>
      <c r="L14" s="56"/>
      <c r="M14" s="99"/>
      <c r="N14" s="99"/>
    </row>
    <row r="15" spans="1:14" ht="13.5">
      <c r="A15" s="1" t="s">
        <v>129</v>
      </c>
      <c r="C15" s="18">
        <v>110472</v>
      </c>
      <c r="D15" s="18"/>
      <c r="E15" s="18">
        <v>157661</v>
      </c>
      <c r="F15" s="18"/>
      <c r="G15" s="18">
        <v>803741</v>
      </c>
      <c r="H15" s="18"/>
      <c r="I15" s="18">
        <v>18816</v>
      </c>
      <c r="J15" s="18"/>
      <c r="K15" s="18">
        <v>47763</v>
      </c>
      <c r="L15" s="56"/>
      <c r="M15" s="99">
        <f>(C15-E15)/E15</f>
        <v>-0.299306740411389</v>
      </c>
      <c r="N15" s="99">
        <f>(C15-K15)/K15</f>
        <v>1.312920042710885</v>
      </c>
    </row>
    <row r="16" spans="3:14" ht="13.5">
      <c r="C16" s="18"/>
      <c r="D16" s="18"/>
      <c r="E16" s="18"/>
      <c r="F16" s="18"/>
      <c r="G16" s="18"/>
      <c r="H16" s="18"/>
      <c r="I16" s="18"/>
      <c r="J16" s="18"/>
      <c r="K16" s="18"/>
      <c r="L16" s="56"/>
      <c r="M16" s="1"/>
      <c r="N16" s="1"/>
    </row>
    <row r="17" spans="1:14" ht="13.5">
      <c r="A17" s="1" t="s">
        <v>397</v>
      </c>
      <c r="C17" s="18">
        <v>6953</v>
      </c>
      <c r="D17" s="18"/>
      <c r="E17" s="18">
        <v>7116</v>
      </c>
      <c r="F17" s="18"/>
      <c r="G17" s="18">
        <v>3852</v>
      </c>
      <c r="H17" s="18"/>
      <c r="I17" s="18">
        <v>1276</v>
      </c>
      <c r="J17" s="18"/>
      <c r="K17" s="18">
        <v>595</v>
      </c>
      <c r="L17" s="56"/>
      <c r="M17" s="99">
        <f>(C17-E17)/E17</f>
        <v>-0.02290612703766161</v>
      </c>
      <c r="N17" s="99" t="s">
        <v>80</v>
      </c>
    </row>
    <row r="18" spans="3:14" ht="13.5">
      <c r="C18" s="18"/>
      <c r="D18" s="18"/>
      <c r="E18" s="18"/>
      <c r="F18" s="18"/>
      <c r="G18" s="18"/>
      <c r="H18" s="18"/>
      <c r="I18" s="18"/>
      <c r="J18" s="18"/>
      <c r="K18" s="18"/>
      <c r="L18" s="56"/>
      <c r="M18" s="32"/>
      <c r="N18" s="1"/>
    </row>
    <row r="19" spans="1:14" ht="13.5">
      <c r="A19" s="1" t="s">
        <v>398</v>
      </c>
      <c r="C19" s="18">
        <v>2265</v>
      </c>
      <c r="D19" s="18"/>
      <c r="E19" s="18">
        <v>2233</v>
      </c>
      <c r="F19" s="18"/>
      <c r="G19" s="18">
        <v>1337</v>
      </c>
      <c r="H19" s="18"/>
      <c r="I19" s="18">
        <v>1191</v>
      </c>
      <c r="J19" s="18"/>
      <c r="K19" s="18">
        <v>1083</v>
      </c>
      <c r="L19" s="56"/>
      <c r="M19" s="99">
        <f>(C19-E19)/E19</f>
        <v>0.014330497089117778</v>
      </c>
      <c r="N19" s="99">
        <f>(C19-K19)/K19</f>
        <v>1.0914127423822715</v>
      </c>
    </row>
    <row r="20" spans="3:14" ht="13.5">
      <c r="C20" s="18"/>
      <c r="D20" s="18"/>
      <c r="E20" s="18"/>
      <c r="F20" s="18"/>
      <c r="G20" s="18"/>
      <c r="H20" s="18"/>
      <c r="I20" s="18"/>
      <c r="J20" s="18"/>
      <c r="K20" s="18"/>
      <c r="L20" s="56"/>
      <c r="M20" s="99"/>
      <c r="N20" s="99"/>
    </row>
    <row r="21" spans="1:14" ht="13.5">
      <c r="A21" s="1" t="s">
        <v>401</v>
      </c>
      <c r="C21" s="18">
        <v>31548</v>
      </c>
      <c r="D21" s="18"/>
      <c r="E21" s="18">
        <v>32845</v>
      </c>
      <c r="F21" s="18"/>
      <c r="G21" s="18">
        <v>26263</v>
      </c>
      <c r="H21" s="18"/>
      <c r="I21" s="18">
        <v>16825</v>
      </c>
      <c r="J21" s="18"/>
      <c r="K21" s="18">
        <v>15518</v>
      </c>
      <c r="L21" s="56"/>
      <c r="M21" s="99">
        <f>(C21-E21)/E21</f>
        <v>-0.03948850662201248</v>
      </c>
      <c r="N21" s="99">
        <f>(C21-K21)/K21</f>
        <v>1.0329939425183658</v>
      </c>
    </row>
    <row r="22" spans="3:14" ht="13.5">
      <c r="C22" s="18"/>
      <c r="D22" s="18"/>
      <c r="E22" s="18"/>
      <c r="F22" s="18"/>
      <c r="G22" s="18"/>
      <c r="H22" s="18"/>
      <c r="I22" s="18"/>
      <c r="J22" s="18"/>
      <c r="K22" s="18"/>
      <c r="L22" s="56"/>
      <c r="M22" s="1"/>
      <c r="N22" s="1"/>
    </row>
    <row r="23" spans="1:14" ht="14.25" thickBot="1">
      <c r="A23" s="14" t="s">
        <v>294</v>
      </c>
      <c r="B23" s="14"/>
      <c r="C23" s="35">
        <f>+C11+C13-C15-C17-C19+C21</f>
        <v>-4905</v>
      </c>
      <c r="D23" s="35"/>
      <c r="E23" s="35">
        <f>+E11+E13-E15-E17-E19+E21</f>
        <v>10149</v>
      </c>
      <c r="F23" s="35"/>
      <c r="G23" s="35">
        <f>+G11+G13-G15-G17-G19+G21</f>
        <v>3716</v>
      </c>
      <c r="H23" s="35"/>
      <c r="I23" s="35">
        <f>+I11+I13-I15-I17-I19+I21</f>
        <v>6039</v>
      </c>
      <c r="J23" s="35"/>
      <c r="K23" s="35">
        <f>+K11+K13-K15-K17-K19+K21</f>
        <v>5272</v>
      </c>
      <c r="L23" s="17"/>
      <c r="M23" s="134">
        <f>(C23-E23)/E23</f>
        <v>-1.4832988471770618</v>
      </c>
      <c r="N23" s="134">
        <f>(C23-K23)/K23</f>
        <v>-1.9303869499241275</v>
      </c>
    </row>
    <row r="24" ht="14.25" thickTop="1">
      <c r="L24" s="56"/>
    </row>
    <row r="25" ht="13.5">
      <c r="L25" s="56"/>
    </row>
    <row r="26" ht="13.5">
      <c r="A26" s="14" t="s">
        <v>315</v>
      </c>
    </row>
    <row r="27" spans="1:11" ht="13.5">
      <c r="A27" s="335" t="s">
        <v>185</v>
      </c>
      <c r="B27" s="335"/>
      <c r="C27" s="335"/>
      <c r="D27" s="335"/>
      <c r="E27" s="335"/>
      <c r="F27" s="335"/>
      <c r="G27" s="335"/>
      <c r="H27" s="335"/>
      <c r="I27" s="335"/>
      <c r="J27" s="335"/>
      <c r="K27" s="335"/>
    </row>
    <row r="28" spans="1:11" ht="13.5">
      <c r="A28" s="335"/>
      <c r="B28" s="335"/>
      <c r="C28" s="335"/>
      <c r="D28" s="335"/>
      <c r="E28" s="335"/>
      <c r="F28" s="335"/>
      <c r="G28" s="335"/>
      <c r="H28" s="335"/>
      <c r="I28" s="335"/>
      <c r="J28" s="335"/>
      <c r="K28" s="335"/>
    </row>
  </sheetData>
  <mergeCells count="2">
    <mergeCell ref="M2:N2"/>
    <mergeCell ref="A27:K28"/>
  </mergeCells>
  <printOptions horizontalCentered="1" verticalCentered="1"/>
  <pageMargins left="0.5" right="0.5" top="1.58" bottom="2.84" header="0.5" footer="0.5"/>
  <pageSetup horizontalDpi="600" verticalDpi="600" orientation="landscape" scale="56" r:id="rId2"/>
  <headerFooter alignWithMargins="0">
    <oddHeader>&amp;L&amp;G&amp;C&amp;"Optima,Bold"&amp;18REINSURANCE SEGMENT - LIFE OPERATIONS
&amp;"Optima,Regular"&amp;12(U.S. dollars in thousands)
(Unaudited)</oddHeader>
    <oddFooter>&amp;C&amp;"Optima,Regular"16</oddFooter>
  </headerFooter>
  <legacyDrawingHF r:id="rId1"/>
</worksheet>
</file>

<file path=xl/worksheets/sheet22.xml><?xml version="1.0" encoding="utf-8"?>
<worksheet xmlns="http://schemas.openxmlformats.org/spreadsheetml/2006/main" xmlns:r="http://schemas.openxmlformats.org/officeDocument/2006/relationships">
  <sheetPr codeName="Sheet18"/>
  <dimension ref="A2:N28"/>
  <sheetViews>
    <sheetView workbookViewId="0" topLeftCell="A1">
      <selection activeCell="A25" sqref="A25"/>
    </sheetView>
  </sheetViews>
  <sheetFormatPr defaultColWidth="9.140625" defaultRowHeight="12.75"/>
  <cols>
    <col min="1" max="1" width="26.7109375" style="1" customWidth="1"/>
    <col min="2" max="2" width="4.140625" style="1" customWidth="1"/>
    <col min="3" max="3" width="16.7109375" style="1" customWidth="1"/>
    <col min="4" max="4" width="6.140625" style="1" customWidth="1"/>
    <col min="5" max="5" width="16.7109375" style="1" customWidth="1"/>
    <col min="6" max="6" width="6.140625" style="1" customWidth="1"/>
    <col min="7" max="7" width="16.7109375" style="1" customWidth="1"/>
    <col min="8" max="8" width="3.421875" style="1" customWidth="1"/>
    <col min="9" max="9" width="16.7109375" style="1" customWidth="1"/>
    <col min="10" max="10" width="3.421875" style="1" customWidth="1"/>
    <col min="11" max="11" width="16.7109375" style="1" customWidth="1"/>
    <col min="12" max="12" width="4.7109375" style="1" customWidth="1"/>
    <col min="13" max="14" width="12.00390625" style="1" customWidth="1"/>
    <col min="15" max="16384" width="9.140625" style="1" customWidth="1"/>
  </cols>
  <sheetData>
    <row r="2" spans="3:14" ht="15.75">
      <c r="C2" s="12" t="s">
        <v>307</v>
      </c>
      <c r="E2" s="12" t="s">
        <v>307</v>
      </c>
      <c r="G2" s="12" t="s">
        <v>307</v>
      </c>
      <c r="I2" s="12" t="s">
        <v>307</v>
      </c>
      <c r="K2" s="12" t="s">
        <v>307</v>
      </c>
      <c r="M2" s="341" t="s">
        <v>32</v>
      </c>
      <c r="N2" s="341"/>
    </row>
    <row r="3" spans="3:14" ht="15.75">
      <c r="C3" s="199" t="s">
        <v>27</v>
      </c>
      <c r="D3" s="101"/>
      <c r="E3" s="111" t="s">
        <v>547</v>
      </c>
      <c r="F3" s="101"/>
      <c r="G3" s="111" t="s">
        <v>500</v>
      </c>
      <c r="H3" s="101"/>
      <c r="I3" s="111" t="s">
        <v>402</v>
      </c>
      <c r="J3" s="101"/>
      <c r="K3" s="111" t="s">
        <v>310</v>
      </c>
      <c r="L3" s="101"/>
      <c r="M3" s="12" t="s">
        <v>33</v>
      </c>
      <c r="N3" s="12" t="s">
        <v>34</v>
      </c>
    </row>
    <row r="5" spans="1:14" ht="13.5">
      <c r="A5" s="1" t="s">
        <v>404</v>
      </c>
      <c r="C5" s="26">
        <v>44766</v>
      </c>
      <c r="D5" s="26"/>
      <c r="E5" s="26">
        <f>61240-6328</f>
        <v>54912</v>
      </c>
      <c r="F5" s="26"/>
      <c r="G5" s="26">
        <f>50622-7742</f>
        <v>42880</v>
      </c>
      <c r="H5" s="26"/>
      <c r="I5" s="26">
        <f>84539-8691</f>
        <v>75848</v>
      </c>
      <c r="J5" s="26"/>
      <c r="K5" s="26">
        <f>71796-45523</f>
        <v>26273</v>
      </c>
      <c r="M5" s="99">
        <f>(C5-E5)/E5</f>
        <v>-0.18476835664335664</v>
      </c>
      <c r="N5" s="99">
        <f>(C5-K5)/K5</f>
        <v>0.7038785064514901</v>
      </c>
    </row>
    <row r="7" spans="1:14" ht="13.5">
      <c r="A7" s="1" t="s">
        <v>405</v>
      </c>
      <c r="C7" s="26">
        <v>43996</v>
      </c>
      <c r="D7" s="26"/>
      <c r="E7" s="26">
        <f>60821-6328</f>
        <v>54493</v>
      </c>
      <c r="F7" s="26"/>
      <c r="G7" s="26">
        <f>33947-7742</f>
        <v>26205</v>
      </c>
      <c r="H7" s="26"/>
      <c r="I7" s="26">
        <f>82125-8691</f>
        <v>73434</v>
      </c>
      <c r="J7" s="26"/>
      <c r="K7" s="26">
        <f>69185-45523</f>
        <v>23662</v>
      </c>
      <c r="M7" s="99">
        <f>(C7-E7)/E7</f>
        <v>-0.19263024608665333</v>
      </c>
      <c r="N7" s="99">
        <f>(C7-K7)/K7</f>
        <v>0.8593525483898233</v>
      </c>
    </row>
    <row r="8" spans="3:11" ht="13.5">
      <c r="C8" s="18"/>
      <c r="D8" s="18"/>
      <c r="E8" s="18"/>
      <c r="F8" s="18"/>
      <c r="G8" s="18"/>
      <c r="H8" s="18"/>
      <c r="I8" s="18"/>
      <c r="J8" s="18"/>
      <c r="K8" s="18"/>
    </row>
    <row r="9" spans="3:11" ht="13.5">
      <c r="C9" s="18"/>
      <c r="D9" s="18"/>
      <c r="E9" s="18"/>
      <c r="F9" s="18"/>
      <c r="G9" s="18"/>
      <c r="H9" s="18"/>
      <c r="I9" s="18"/>
      <c r="J9" s="18"/>
      <c r="K9" s="18"/>
    </row>
    <row r="10" spans="1:14" ht="13.5">
      <c r="A10" s="1" t="s">
        <v>406</v>
      </c>
      <c r="C10" s="26">
        <v>26973</v>
      </c>
      <c r="D10" s="26"/>
      <c r="E10" s="26">
        <f>33558-8097</f>
        <v>25461</v>
      </c>
      <c r="F10" s="26"/>
      <c r="G10" s="26">
        <f>29085-12168</f>
        <v>16917</v>
      </c>
      <c r="H10" s="26"/>
      <c r="I10" s="26">
        <f>23084-12271</f>
        <v>10813</v>
      </c>
      <c r="J10" s="26"/>
      <c r="K10" s="26">
        <f>19130-4576</f>
        <v>14554</v>
      </c>
      <c r="M10" s="99">
        <f>(C10-E10)/E10</f>
        <v>0.05938494167550371</v>
      </c>
      <c r="N10" s="99">
        <f>(C10-K10)/K10</f>
        <v>0.8533049333516559</v>
      </c>
    </row>
    <row r="11" spans="3:11" ht="13.5">
      <c r="C11" s="18"/>
      <c r="D11" s="18"/>
      <c r="E11" s="18"/>
      <c r="F11" s="18"/>
      <c r="G11" s="18"/>
      <c r="H11" s="18"/>
      <c r="I11" s="18"/>
      <c r="J11" s="18"/>
      <c r="K11" s="18"/>
    </row>
    <row r="12" spans="1:14" ht="13.5">
      <c r="A12" s="1" t="s">
        <v>395</v>
      </c>
      <c r="C12" s="18">
        <v>-1342</v>
      </c>
      <c r="D12" s="18"/>
      <c r="E12" s="18">
        <f>3256+1327</f>
        <v>4583</v>
      </c>
      <c r="F12" s="18"/>
      <c r="G12" s="18">
        <f>14912-14022</f>
        <v>890</v>
      </c>
      <c r="H12" s="18"/>
      <c r="I12" s="18">
        <f>4060-2993</f>
        <v>1067</v>
      </c>
      <c r="J12" s="18"/>
      <c r="K12" s="18">
        <f>1422-919</f>
        <v>503</v>
      </c>
      <c r="M12" s="99">
        <f>(C12-E12)/E12</f>
        <v>-1.2928212960942613</v>
      </c>
      <c r="N12" s="99">
        <f>(C12-K12)/K12</f>
        <v>-3.667992047713718</v>
      </c>
    </row>
    <row r="13" spans="3:11" ht="13.5">
      <c r="C13" s="18"/>
      <c r="D13" s="18"/>
      <c r="E13" s="18"/>
      <c r="F13" s="18"/>
      <c r="G13" s="18"/>
      <c r="H13" s="18"/>
      <c r="I13" s="18"/>
      <c r="J13" s="18"/>
      <c r="K13" s="18"/>
    </row>
    <row r="14" spans="3:14" ht="13.5">
      <c r="C14" s="18"/>
      <c r="D14" s="18"/>
      <c r="E14" s="18"/>
      <c r="F14" s="18"/>
      <c r="G14" s="18"/>
      <c r="H14" s="18"/>
      <c r="I14" s="18"/>
      <c r="J14" s="18"/>
      <c r="K14" s="18"/>
      <c r="M14" s="99"/>
      <c r="N14" s="99"/>
    </row>
    <row r="15" spans="1:14" ht="13.5">
      <c r="A15" s="1" t="s">
        <v>336</v>
      </c>
      <c r="C15" s="18">
        <v>13463</v>
      </c>
      <c r="D15" s="18"/>
      <c r="E15" s="18">
        <v>-10764</v>
      </c>
      <c r="F15" s="18"/>
      <c r="G15" s="18">
        <f>12091-6085</f>
        <v>6006</v>
      </c>
      <c r="H15" s="18"/>
      <c r="I15" s="18">
        <f>6669-6723</f>
        <v>-54</v>
      </c>
      <c r="J15" s="18"/>
      <c r="K15" s="18">
        <f>5912-2832</f>
        <v>3080</v>
      </c>
      <c r="M15" s="99">
        <f>(C15-E15)/E15</f>
        <v>-2.2507432181345224</v>
      </c>
      <c r="N15" s="99">
        <f>(C15-K15)/K15</f>
        <v>3.371103896103896</v>
      </c>
    </row>
    <row r="16" spans="3:11" ht="13.5">
      <c r="C16" s="18"/>
      <c r="D16" s="18"/>
      <c r="E16" s="18"/>
      <c r="F16" s="18"/>
      <c r="G16" s="18"/>
      <c r="H16" s="18"/>
      <c r="I16" s="18"/>
      <c r="J16" s="18"/>
      <c r="K16" s="18"/>
    </row>
    <row r="17" spans="1:14" ht="13.5">
      <c r="A17" s="1" t="s">
        <v>397</v>
      </c>
      <c r="C17" s="18">
        <v>3203</v>
      </c>
      <c r="D17" s="18"/>
      <c r="E17" s="18">
        <v>3624</v>
      </c>
      <c r="F17" s="18"/>
      <c r="G17" s="18">
        <v>17</v>
      </c>
      <c r="H17" s="18"/>
      <c r="I17" s="18">
        <v>5045</v>
      </c>
      <c r="J17" s="18"/>
      <c r="K17" s="18">
        <v>958</v>
      </c>
      <c r="M17" s="99">
        <f>(C17-E17)/E17</f>
        <v>-0.11616997792494481</v>
      </c>
      <c r="N17" s="99">
        <f>(C17-K17)/K17</f>
        <v>2.3434237995824634</v>
      </c>
    </row>
    <row r="18" spans="3:13" ht="13.5">
      <c r="C18" s="18"/>
      <c r="D18" s="18"/>
      <c r="E18" s="18"/>
      <c r="F18" s="18"/>
      <c r="G18" s="18"/>
      <c r="H18" s="18"/>
      <c r="I18" s="18"/>
      <c r="J18" s="18"/>
      <c r="K18" s="18"/>
      <c r="M18" s="32"/>
    </row>
    <row r="19" spans="1:14" ht="13.5">
      <c r="A19" s="1" t="s">
        <v>398</v>
      </c>
      <c r="C19" s="18">
        <v>20157</v>
      </c>
      <c r="D19" s="18"/>
      <c r="E19" s="18">
        <v>17672</v>
      </c>
      <c r="F19" s="18"/>
      <c r="G19" s="18">
        <v>16569</v>
      </c>
      <c r="H19" s="18"/>
      <c r="I19" s="18">
        <v>12312</v>
      </c>
      <c r="J19" s="18"/>
      <c r="K19" s="18">
        <v>14990</v>
      </c>
      <c r="M19" s="99">
        <f>(C19-E19)/E19</f>
        <v>0.14061792666364872</v>
      </c>
      <c r="N19" s="99">
        <f>(C19-K19)/K19</f>
        <v>0.3446964643095397</v>
      </c>
    </row>
    <row r="20" spans="3:14" ht="13.5">
      <c r="C20" s="18"/>
      <c r="D20" s="18"/>
      <c r="E20" s="18"/>
      <c r="F20" s="18"/>
      <c r="G20" s="18"/>
      <c r="H20" s="18"/>
      <c r="I20" s="18"/>
      <c r="J20" s="18"/>
      <c r="K20" s="18"/>
      <c r="M20" s="99"/>
      <c r="N20" s="99"/>
    </row>
    <row r="21" spans="1:14" ht="13.5">
      <c r="A21" s="1" t="s">
        <v>485</v>
      </c>
      <c r="C21" s="18">
        <v>0</v>
      </c>
      <c r="D21" s="18"/>
      <c r="E21" s="18">
        <v>8</v>
      </c>
      <c r="F21" s="18"/>
      <c r="G21" s="18">
        <v>0</v>
      </c>
      <c r="H21" s="18"/>
      <c r="I21" s="18">
        <v>0</v>
      </c>
      <c r="J21" s="18"/>
      <c r="K21" s="18">
        <v>0</v>
      </c>
      <c r="M21" s="99"/>
      <c r="N21" s="99"/>
    </row>
    <row r="23" spans="1:14" ht="14.25" thickBot="1">
      <c r="A23" s="14" t="s">
        <v>399</v>
      </c>
      <c r="B23" s="14"/>
      <c r="C23" s="35">
        <f>+C10+C12-C15-C17-C19-C21</f>
        <v>-11192</v>
      </c>
      <c r="D23" s="35"/>
      <c r="E23" s="35">
        <f>+E10+E12-E15-E17-E19-E21</f>
        <v>19504</v>
      </c>
      <c r="F23" s="35"/>
      <c r="G23" s="35">
        <f>+G10+G12-G15-G17-G19-G21</f>
        <v>-4785</v>
      </c>
      <c r="H23" s="35"/>
      <c r="I23" s="35">
        <f>+I10+I12-I15-I17-I19-I21</f>
        <v>-5423</v>
      </c>
      <c r="J23" s="35"/>
      <c r="K23" s="35">
        <f>+K10+K12-K15-K17-K19-K21</f>
        <v>-3971</v>
      </c>
      <c r="M23" s="134">
        <f>(C23-E23)/E23</f>
        <v>-1.57383100902379</v>
      </c>
      <c r="N23" s="134">
        <f>(C23-K23)/K23</f>
        <v>1.8184336439184086</v>
      </c>
    </row>
    <row r="24" ht="14.25" thickTop="1"/>
    <row r="26" ht="13.5">
      <c r="A26" s="14" t="s">
        <v>315</v>
      </c>
    </row>
    <row r="27" spans="1:14" ht="13.5" customHeight="1">
      <c r="A27" s="332" t="s">
        <v>16</v>
      </c>
      <c r="B27" s="332"/>
      <c r="C27" s="332"/>
      <c r="D27" s="332"/>
      <c r="E27" s="332"/>
      <c r="F27" s="332"/>
      <c r="G27" s="332"/>
      <c r="H27" s="332"/>
      <c r="I27" s="332"/>
      <c r="J27" s="332"/>
      <c r="K27" s="332"/>
      <c r="L27" s="332"/>
      <c r="M27" s="332"/>
      <c r="N27" s="332"/>
    </row>
    <row r="28" spans="1:14" ht="13.5">
      <c r="A28" s="332"/>
      <c r="B28" s="332"/>
      <c r="C28" s="332"/>
      <c r="D28" s="332"/>
      <c r="E28" s="332"/>
      <c r="F28" s="332"/>
      <c r="G28" s="332"/>
      <c r="H28" s="332"/>
      <c r="I28" s="332"/>
      <c r="J28" s="332"/>
      <c r="K28" s="332"/>
      <c r="L28" s="332"/>
      <c r="M28" s="332"/>
      <c r="N28" s="332"/>
    </row>
  </sheetData>
  <mergeCells count="2">
    <mergeCell ref="M2:N2"/>
    <mergeCell ref="A27:N28"/>
  </mergeCells>
  <printOptions horizontalCentered="1" verticalCentered="1"/>
  <pageMargins left="0.5" right="0.5" top="1" bottom="2.08" header="0.5" footer="0.5"/>
  <pageSetup horizontalDpi="600" verticalDpi="600" orientation="landscape" scale="56" r:id="rId2"/>
  <headerFooter alignWithMargins="0">
    <oddHeader>&amp;L&amp;G&amp;C&amp;"Optima,Bold"&amp;18FINANCIAL PRODUCTS AND SERVICES SEGMENT - GENERAL OPERATIONS
&amp;"Optima,Regular"&amp;12(U.S. dollars in thousands)
(Unaudited)</oddHeader>
    <oddFooter>&amp;C&amp;"Optima,Regular"17</oddFooter>
  </headerFooter>
  <legacyDrawingHF r:id="rId1"/>
</worksheet>
</file>

<file path=xl/worksheets/sheet23.xml><?xml version="1.0" encoding="utf-8"?>
<worksheet xmlns="http://schemas.openxmlformats.org/spreadsheetml/2006/main" xmlns:r="http://schemas.openxmlformats.org/officeDocument/2006/relationships">
  <sheetPr codeName="Sheet23"/>
  <dimension ref="A2:N28"/>
  <sheetViews>
    <sheetView workbookViewId="0" topLeftCell="A4">
      <selection activeCell="B29" sqref="B29"/>
    </sheetView>
  </sheetViews>
  <sheetFormatPr defaultColWidth="9.140625" defaultRowHeight="12.75"/>
  <cols>
    <col min="1" max="1" width="25.421875" style="1" customWidth="1"/>
    <col min="2" max="2" width="6.7109375" style="1" customWidth="1"/>
    <col min="3" max="3" width="16.7109375" style="1" customWidth="1"/>
    <col min="4" max="4" width="5.57421875" style="1" customWidth="1"/>
    <col min="5" max="5" width="16.7109375" style="1" customWidth="1"/>
    <col min="6" max="6" width="5.57421875" style="1" customWidth="1"/>
    <col min="7" max="7" width="16.7109375" style="1" customWidth="1"/>
    <col min="8" max="8" width="3.421875" style="1" customWidth="1"/>
    <col min="9" max="9" width="16.7109375" style="1" customWidth="1"/>
    <col min="10" max="10" width="3.421875" style="1" customWidth="1"/>
    <col min="11" max="11" width="16.7109375" style="1" customWidth="1"/>
    <col min="12" max="12" width="3.8515625" style="1" customWidth="1"/>
    <col min="13" max="14" width="11.28125" style="56" customWidth="1"/>
    <col min="15" max="16384" width="9.140625" style="1" customWidth="1"/>
  </cols>
  <sheetData>
    <row r="2" spans="3:14" ht="15.75">
      <c r="C2" s="12" t="s">
        <v>307</v>
      </c>
      <c r="E2" s="12" t="s">
        <v>307</v>
      </c>
      <c r="G2" s="12" t="s">
        <v>307</v>
      </c>
      <c r="I2" s="12" t="s">
        <v>307</v>
      </c>
      <c r="K2" s="12" t="s">
        <v>307</v>
      </c>
      <c r="M2" s="341" t="s">
        <v>32</v>
      </c>
      <c r="N2" s="341"/>
    </row>
    <row r="3" spans="3:14" ht="15.75">
      <c r="C3" s="199" t="s">
        <v>27</v>
      </c>
      <c r="D3" s="101"/>
      <c r="E3" s="111" t="s">
        <v>547</v>
      </c>
      <c r="F3" s="101"/>
      <c r="G3" s="111" t="s">
        <v>500</v>
      </c>
      <c r="H3" s="101"/>
      <c r="I3" s="111" t="s">
        <v>402</v>
      </c>
      <c r="J3" s="101"/>
      <c r="K3" s="111" t="s">
        <v>310</v>
      </c>
      <c r="L3" s="101"/>
      <c r="M3" s="12" t="s">
        <v>33</v>
      </c>
      <c r="N3" s="12" t="s">
        <v>34</v>
      </c>
    </row>
    <row r="4" spans="3:14" ht="15.75">
      <c r="C4" s="111"/>
      <c r="D4" s="101"/>
      <c r="E4" s="282" t="s">
        <v>496</v>
      </c>
      <c r="F4" s="101"/>
      <c r="H4" s="101"/>
      <c r="I4" s="111"/>
      <c r="J4" s="101"/>
      <c r="K4" s="111"/>
      <c r="L4" s="101"/>
      <c r="M4" s="1"/>
      <c r="N4" s="1"/>
    </row>
    <row r="5" spans="12:14" ht="13.5">
      <c r="L5" s="56"/>
      <c r="M5" s="99"/>
      <c r="N5" s="99"/>
    </row>
    <row r="6" spans="1:14" ht="13.5">
      <c r="A6" s="1" t="s">
        <v>404</v>
      </c>
      <c r="C6" s="26">
        <v>18187</v>
      </c>
      <c r="D6" s="26"/>
      <c r="E6" s="26">
        <v>69094</v>
      </c>
      <c r="F6" s="26"/>
      <c r="G6" s="26">
        <v>0</v>
      </c>
      <c r="H6" s="26"/>
      <c r="I6" s="26">
        <v>0</v>
      </c>
      <c r="J6" s="26"/>
      <c r="K6" s="26">
        <v>0</v>
      </c>
      <c r="L6" s="56"/>
      <c r="M6" s="99">
        <f>(C6-E6)/E6</f>
        <v>-0.7367788809447998</v>
      </c>
      <c r="N6" s="99" t="s">
        <v>80</v>
      </c>
    </row>
    <row r="7" spans="12:14" ht="13.5">
      <c r="L7" s="56"/>
      <c r="M7" s="99"/>
      <c r="N7" s="99"/>
    </row>
    <row r="8" spans="1:14" ht="13.5">
      <c r="A8" s="1" t="s">
        <v>405</v>
      </c>
      <c r="C8" s="26">
        <v>11124</v>
      </c>
      <c r="D8" s="26"/>
      <c r="E8" s="26">
        <v>43779</v>
      </c>
      <c r="F8" s="26"/>
      <c r="G8" s="26">
        <v>0</v>
      </c>
      <c r="H8" s="26"/>
      <c r="I8" s="26">
        <v>0</v>
      </c>
      <c r="J8" s="26"/>
      <c r="K8" s="26">
        <v>0</v>
      </c>
      <c r="L8" s="56"/>
      <c r="M8" s="99">
        <f>(C8-E8)/E8</f>
        <v>-0.7459055711642568</v>
      </c>
      <c r="N8" s="99" t="s">
        <v>80</v>
      </c>
    </row>
    <row r="9" spans="3:14" ht="13.5">
      <c r="C9" s="26"/>
      <c r="D9" s="26"/>
      <c r="E9" s="26"/>
      <c r="F9" s="26"/>
      <c r="G9" s="26"/>
      <c r="H9" s="26"/>
      <c r="I9" s="26"/>
      <c r="J9" s="26"/>
      <c r="K9" s="26"/>
      <c r="L9" s="56"/>
      <c r="M9" s="1"/>
      <c r="N9" s="1"/>
    </row>
    <row r="10" spans="3:14" ht="13.5">
      <c r="C10" s="26"/>
      <c r="D10" s="26"/>
      <c r="E10" s="26"/>
      <c r="F10" s="26"/>
      <c r="G10" s="26"/>
      <c r="H10" s="26"/>
      <c r="I10" s="26"/>
      <c r="J10" s="26"/>
      <c r="K10" s="26"/>
      <c r="L10" s="56"/>
      <c r="M10" s="99"/>
      <c r="N10" s="99"/>
    </row>
    <row r="11" spans="1:14" ht="13.5">
      <c r="A11" s="1" t="s">
        <v>406</v>
      </c>
      <c r="C11" s="26">
        <v>9534</v>
      </c>
      <c r="D11" s="26"/>
      <c r="E11" s="26">
        <v>42605</v>
      </c>
      <c r="F11" s="26"/>
      <c r="G11" s="26">
        <v>0</v>
      </c>
      <c r="H11" s="26"/>
      <c r="I11" s="26">
        <v>0</v>
      </c>
      <c r="J11" s="26"/>
      <c r="K11" s="26">
        <v>0</v>
      </c>
      <c r="L11" s="56"/>
      <c r="M11" s="99">
        <f>(C11-E11)/E11</f>
        <v>-0.7762234479521183</v>
      </c>
      <c r="N11" s="99" t="s">
        <v>80</v>
      </c>
    </row>
    <row r="12" spans="3:14" ht="13.5">
      <c r="C12" s="26"/>
      <c r="D12" s="26"/>
      <c r="E12" s="26"/>
      <c r="F12" s="26"/>
      <c r="G12" s="26"/>
      <c r="H12" s="26"/>
      <c r="I12" s="26"/>
      <c r="J12" s="26"/>
      <c r="K12" s="26"/>
      <c r="L12" s="56"/>
      <c r="M12" s="99"/>
      <c r="N12" s="99"/>
    </row>
    <row r="13" spans="1:14" ht="13.5">
      <c r="A13" s="1" t="s">
        <v>395</v>
      </c>
      <c r="C13" s="18">
        <v>21</v>
      </c>
      <c r="D13" s="18"/>
      <c r="E13" s="18">
        <v>0</v>
      </c>
      <c r="F13" s="18"/>
      <c r="G13" s="18">
        <v>0</v>
      </c>
      <c r="H13" s="18"/>
      <c r="I13" s="18">
        <v>0</v>
      </c>
      <c r="J13" s="18"/>
      <c r="K13" s="18">
        <v>0</v>
      </c>
      <c r="L13" s="56"/>
      <c r="M13" s="99" t="s">
        <v>80</v>
      </c>
      <c r="N13" s="99" t="s">
        <v>80</v>
      </c>
    </row>
    <row r="14" spans="3:14" ht="13.5">
      <c r="C14" s="18"/>
      <c r="D14" s="18"/>
      <c r="E14" s="18"/>
      <c r="F14" s="18"/>
      <c r="G14" s="18"/>
      <c r="H14" s="18"/>
      <c r="I14" s="18"/>
      <c r="J14" s="18"/>
      <c r="K14" s="18"/>
      <c r="L14" s="56"/>
      <c r="M14" s="99"/>
      <c r="N14" s="99"/>
    </row>
    <row r="15" spans="1:14" ht="13.5">
      <c r="A15" s="1" t="s">
        <v>129</v>
      </c>
      <c r="C15" s="18">
        <v>9086</v>
      </c>
      <c r="D15" s="18"/>
      <c r="E15" s="18">
        <v>41475</v>
      </c>
      <c r="F15" s="18"/>
      <c r="G15" s="18">
        <v>0</v>
      </c>
      <c r="H15" s="18"/>
      <c r="I15" s="18">
        <v>0</v>
      </c>
      <c r="J15" s="18"/>
      <c r="K15" s="18">
        <v>0</v>
      </c>
      <c r="L15" s="56"/>
      <c r="M15" s="99">
        <f>(C15-E15)/E15</f>
        <v>-0.7809282700421941</v>
      </c>
      <c r="N15" s="99" t="s">
        <v>80</v>
      </c>
    </row>
    <row r="16" spans="3:14" ht="13.5">
      <c r="C16" s="18"/>
      <c r="D16" s="18"/>
      <c r="E16" s="18"/>
      <c r="F16" s="18"/>
      <c r="G16" s="18"/>
      <c r="H16" s="18"/>
      <c r="I16" s="18"/>
      <c r="J16" s="18"/>
      <c r="K16" s="18"/>
      <c r="L16" s="56"/>
      <c r="M16" s="1"/>
      <c r="N16" s="1"/>
    </row>
    <row r="17" spans="1:14" ht="13.5">
      <c r="A17" s="1" t="s">
        <v>397</v>
      </c>
      <c r="C17" s="18">
        <v>1057</v>
      </c>
      <c r="D17" s="18"/>
      <c r="E17" s="18">
        <v>0</v>
      </c>
      <c r="F17" s="18"/>
      <c r="G17" s="18">
        <v>0</v>
      </c>
      <c r="H17" s="18"/>
      <c r="I17" s="18">
        <v>0</v>
      </c>
      <c r="J17" s="18"/>
      <c r="K17" s="18">
        <v>0</v>
      </c>
      <c r="L17" s="56"/>
      <c r="M17" s="99" t="s">
        <v>80</v>
      </c>
      <c r="N17" s="99" t="s">
        <v>80</v>
      </c>
    </row>
    <row r="18" spans="3:14" ht="13.5">
      <c r="C18" s="18"/>
      <c r="D18" s="18"/>
      <c r="E18" s="18"/>
      <c r="F18" s="18"/>
      <c r="G18" s="18"/>
      <c r="H18" s="18"/>
      <c r="I18" s="18"/>
      <c r="J18" s="18"/>
      <c r="K18" s="18"/>
      <c r="L18" s="56"/>
      <c r="M18" s="32"/>
      <c r="N18" s="1"/>
    </row>
    <row r="19" spans="1:14" ht="13.5">
      <c r="A19" s="1" t="s">
        <v>398</v>
      </c>
      <c r="C19" s="18">
        <v>2433</v>
      </c>
      <c r="D19" s="18"/>
      <c r="E19" s="18">
        <v>404</v>
      </c>
      <c r="F19" s="18"/>
      <c r="G19" s="18">
        <v>0</v>
      </c>
      <c r="H19" s="18"/>
      <c r="I19" s="18">
        <v>0</v>
      </c>
      <c r="J19" s="18"/>
      <c r="K19" s="18">
        <v>0</v>
      </c>
      <c r="L19" s="56"/>
      <c r="M19" s="99">
        <f>(C19-E19)/E19</f>
        <v>5.022277227722772</v>
      </c>
      <c r="N19" s="99" t="s">
        <v>80</v>
      </c>
    </row>
    <row r="20" spans="3:14" ht="13.5">
      <c r="C20" s="18"/>
      <c r="D20" s="18"/>
      <c r="E20" s="18"/>
      <c r="F20" s="18"/>
      <c r="G20" s="18"/>
      <c r="H20" s="18"/>
      <c r="I20" s="18"/>
      <c r="J20" s="18"/>
      <c r="K20" s="18"/>
      <c r="L20" s="56"/>
      <c r="M20" s="99"/>
      <c r="N20" s="99"/>
    </row>
    <row r="21" spans="1:14" ht="13.5">
      <c r="A21" s="1" t="s">
        <v>401</v>
      </c>
      <c r="C21" s="18">
        <v>3775</v>
      </c>
      <c r="D21" s="18"/>
      <c r="E21" s="18">
        <v>0</v>
      </c>
      <c r="F21" s="18"/>
      <c r="G21" s="18">
        <v>0</v>
      </c>
      <c r="H21" s="18"/>
      <c r="I21" s="18">
        <v>0</v>
      </c>
      <c r="J21" s="18"/>
      <c r="K21" s="18">
        <v>0</v>
      </c>
      <c r="L21" s="56"/>
      <c r="M21" s="99" t="s">
        <v>80</v>
      </c>
      <c r="N21" s="99" t="s">
        <v>80</v>
      </c>
    </row>
    <row r="22" spans="3:14" ht="13.5">
      <c r="C22" s="18"/>
      <c r="D22" s="18"/>
      <c r="E22" s="18"/>
      <c r="F22" s="18"/>
      <c r="G22" s="18"/>
      <c r="H22" s="18"/>
      <c r="I22" s="18"/>
      <c r="J22" s="18"/>
      <c r="K22" s="18"/>
      <c r="L22" s="56"/>
      <c r="M22" s="1"/>
      <c r="N22" s="1"/>
    </row>
    <row r="23" spans="1:14" ht="14.25" thickBot="1">
      <c r="A23" s="14" t="s">
        <v>417</v>
      </c>
      <c r="B23" s="14"/>
      <c r="C23" s="35">
        <f>+C11+C13-C15-C17-C19+C21</f>
        <v>754</v>
      </c>
      <c r="D23" s="35"/>
      <c r="E23" s="35">
        <f>+E11+E13-E15-E17-E19+E21</f>
        <v>726</v>
      </c>
      <c r="F23" s="35"/>
      <c r="G23" s="35">
        <f>+G11+G13-G15-G17-G19+G21</f>
        <v>0</v>
      </c>
      <c r="H23" s="35"/>
      <c r="I23" s="35">
        <f>+I11+I13-I15-I17-I19+I21</f>
        <v>0</v>
      </c>
      <c r="J23" s="35"/>
      <c r="K23" s="35">
        <f>+K11+K13-K15-K17-K19+K21</f>
        <v>0</v>
      </c>
      <c r="L23" s="17"/>
      <c r="M23" s="134">
        <f>(C23-E23)/E23</f>
        <v>0.03856749311294766</v>
      </c>
      <c r="N23" s="134" t="s">
        <v>80</v>
      </c>
    </row>
    <row r="24" ht="14.25" thickTop="1">
      <c r="L24" s="56"/>
    </row>
    <row r="25" ht="13.5">
      <c r="L25" s="56"/>
    </row>
    <row r="26" spans="1:14" ht="13.5">
      <c r="A26" s="14" t="s">
        <v>315</v>
      </c>
      <c r="M26" s="1"/>
      <c r="N26" s="1"/>
    </row>
    <row r="27" spans="1:14" ht="15" customHeight="1">
      <c r="A27" s="335" t="s">
        <v>132</v>
      </c>
      <c r="B27" s="335"/>
      <c r="C27" s="335"/>
      <c r="D27" s="335"/>
      <c r="E27" s="335"/>
      <c r="F27" s="335"/>
      <c r="G27" s="335"/>
      <c r="H27" s="335"/>
      <c r="I27" s="335"/>
      <c r="J27" s="335"/>
      <c r="K27" s="335"/>
      <c r="L27" s="335"/>
      <c r="M27" s="335"/>
      <c r="N27" s="335"/>
    </row>
    <row r="28" spans="1:14" ht="13.5">
      <c r="A28" s="24"/>
      <c r="B28" s="24"/>
      <c r="C28" s="24"/>
      <c r="D28" s="24"/>
      <c r="E28" s="24"/>
      <c r="F28" s="24"/>
      <c r="G28" s="24"/>
      <c r="H28" s="24"/>
      <c r="I28" s="24"/>
      <c r="J28" s="24"/>
      <c r="K28" s="24"/>
      <c r="L28" s="24"/>
      <c r="M28" s="24"/>
      <c r="N28" s="24"/>
    </row>
  </sheetData>
  <mergeCells count="2">
    <mergeCell ref="M2:N2"/>
    <mergeCell ref="A27:N27"/>
  </mergeCells>
  <printOptions horizontalCentered="1" verticalCentered="1"/>
  <pageMargins left="0.5" right="0.5" top="1.45" bottom="2.71" header="0.5" footer="0.5"/>
  <pageSetup horizontalDpi="600" verticalDpi="600" orientation="landscape" scale="56" r:id="rId2"/>
  <headerFooter alignWithMargins="0">
    <oddHeader>&amp;L&amp;G&amp;C&amp;"Optima,Bold"&amp;18FINANCIAL PRODUCTS AND SERVICES SEGMENT - LIFE OPERATIONS
&amp;"Optima,Regular"&amp;12(U.S. dollars in thousands)
(Unaudited)</oddHeader>
    <oddFooter>&amp;C&amp;"Optima,Regular"18</oddFooter>
  </headerFooter>
  <legacyDrawingHF r:id="rId1"/>
</worksheet>
</file>

<file path=xl/worksheets/sheet24.xml><?xml version="1.0" encoding="utf-8"?>
<worksheet xmlns="http://schemas.openxmlformats.org/spreadsheetml/2006/main" xmlns:r="http://schemas.openxmlformats.org/officeDocument/2006/relationships">
  <sheetPr codeName="Sheet19"/>
  <dimension ref="A2:K55"/>
  <sheetViews>
    <sheetView workbookViewId="0" topLeftCell="A31">
      <selection activeCell="C41" sqref="C40:C41"/>
    </sheetView>
  </sheetViews>
  <sheetFormatPr defaultColWidth="9.140625" defaultRowHeight="12.75"/>
  <cols>
    <col min="1" max="1" width="3.7109375" style="1" customWidth="1"/>
    <col min="2" max="2" width="37.140625" style="1" customWidth="1"/>
    <col min="3" max="3" width="16.7109375" style="1" customWidth="1"/>
    <col min="4" max="4" width="2.8515625" style="1" customWidth="1"/>
    <col min="5" max="5" width="16.57421875" style="1" customWidth="1"/>
    <col min="6" max="6" width="3.28125" style="1" customWidth="1"/>
    <col min="7" max="7" width="15.57421875" style="1" customWidth="1"/>
    <col min="8" max="8" width="3.57421875" style="1" customWidth="1"/>
    <col min="9" max="9" width="16.7109375" style="1" customWidth="1"/>
    <col min="10" max="10" width="4.00390625" style="1" customWidth="1"/>
    <col min="11" max="11" width="16.7109375" style="1" customWidth="1"/>
    <col min="12" max="16384" width="9.140625" style="1" customWidth="1"/>
  </cols>
  <sheetData>
    <row r="2" spans="3:11" ht="15">
      <c r="C2" s="2"/>
      <c r="D2" s="2"/>
      <c r="E2" s="2"/>
      <c r="F2" s="2"/>
      <c r="G2" s="21" t="s">
        <v>389</v>
      </c>
      <c r="H2" s="21"/>
      <c r="I2" s="21" t="s">
        <v>391</v>
      </c>
      <c r="J2" s="21"/>
      <c r="K2" s="2"/>
    </row>
    <row r="3" spans="3:11" ht="15">
      <c r="C3" s="2"/>
      <c r="D3" s="2"/>
      <c r="E3" s="2"/>
      <c r="F3" s="2"/>
      <c r="G3" s="21" t="s">
        <v>390</v>
      </c>
      <c r="H3" s="21"/>
      <c r="I3" s="21" t="s">
        <v>392</v>
      </c>
      <c r="J3" s="21"/>
      <c r="K3" s="2"/>
    </row>
    <row r="4" spans="3:11" ht="15">
      <c r="C4" s="21" t="s">
        <v>387</v>
      </c>
      <c r="D4" s="21"/>
      <c r="E4" s="21" t="s">
        <v>388</v>
      </c>
      <c r="F4" s="21"/>
      <c r="G4" s="21" t="s">
        <v>388</v>
      </c>
      <c r="H4" s="21"/>
      <c r="I4" s="21" t="s">
        <v>393</v>
      </c>
      <c r="J4" s="21"/>
      <c r="K4" s="21" t="s">
        <v>394</v>
      </c>
    </row>
    <row r="5" ht="15">
      <c r="A5" s="9" t="s">
        <v>589</v>
      </c>
    </row>
    <row r="6" spans="1:11" ht="13.5">
      <c r="A6" s="1" t="s">
        <v>404</v>
      </c>
      <c r="C6" s="26"/>
      <c r="D6" s="26"/>
      <c r="E6" s="26"/>
      <c r="F6" s="26"/>
      <c r="G6" s="26">
        <f>+E6+C6</f>
        <v>0</v>
      </c>
      <c r="H6" s="26"/>
      <c r="I6" s="26"/>
      <c r="J6" s="26"/>
      <c r="K6" s="26">
        <f>+G6+I6</f>
        <v>0</v>
      </c>
    </row>
    <row r="7" spans="1:11" ht="13.5">
      <c r="A7" s="1" t="s">
        <v>405</v>
      </c>
      <c r="C7" s="26"/>
      <c r="D7" s="26"/>
      <c r="E7" s="26"/>
      <c r="F7" s="26"/>
      <c r="G7" s="26">
        <f>+E7+C7</f>
        <v>0</v>
      </c>
      <c r="H7" s="26"/>
      <c r="I7" s="26"/>
      <c r="J7" s="26"/>
      <c r="K7" s="26">
        <f>+G7+I7</f>
        <v>0</v>
      </c>
    </row>
    <row r="8" ht="6.75" customHeight="1"/>
    <row r="9" spans="1:11" ht="13.5">
      <c r="A9" s="1" t="s">
        <v>406</v>
      </c>
      <c r="C9" s="26"/>
      <c r="D9" s="26"/>
      <c r="E9" s="26"/>
      <c r="F9" s="26"/>
      <c r="G9" s="26">
        <f>+C9+E9</f>
        <v>0</v>
      </c>
      <c r="H9" s="26"/>
      <c r="I9" s="26"/>
      <c r="J9" s="26"/>
      <c r="K9" s="26">
        <f>+G9+I9</f>
        <v>0</v>
      </c>
    </row>
    <row r="10" spans="1:11" ht="13.5">
      <c r="A10" s="1" t="s">
        <v>395</v>
      </c>
      <c r="C10" s="18"/>
      <c r="D10" s="18"/>
      <c r="E10" s="18"/>
      <c r="F10" s="18"/>
      <c r="G10" s="18">
        <f>+C10+E10</f>
        <v>0</v>
      </c>
      <c r="H10" s="18"/>
      <c r="I10" s="18"/>
      <c r="J10" s="18"/>
      <c r="K10" s="18">
        <f>+G10+I10</f>
        <v>0</v>
      </c>
    </row>
    <row r="11" spans="3:11" ht="6.75" customHeight="1">
      <c r="C11" s="18"/>
      <c r="D11" s="18"/>
      <c r="E11" s="18"/>
      <c r="F11" s="18"/>
      <c r="G11" s="18"/>
      <c r="H11" s="18"/>
      <c r="I11" s="18"/>
      <c r="J11" s="18"/>
      <c r="K11" s="18"/>
    </row>
    <row r="12" spans="1:11" ht="13.5">
      <c r="A12" s="1" t="s">
        <v>533</v>
      </c>
      <c r="C12" s="18"/>
      <c r="D12" s="18"/>
      <c r="E12" s="18"/>
      <c r="F12" s="18"/>
      <c r="G12" s="18">
        <f>+C12+E12</f>
        <v>0</v>
      </c>
      <c r="H12" s="18"/>
      <c r="I12" s="18"/>
      <c r="J12" s="18"/>
      <c r="K12" s="18">
        <f>+G12+I12</f>
        <v>0</v>
      </c>
    </row>
    <row r="13" spans="1:11" ht="13.5">
      <c r="A13" s="1" t="s">
        <v>397</v>
      </c>
      <c r="C13" s="18"/>
      <c r="D13" s="18"/>
      <c r="E13" s="18"/>
      <c r="F13" s="18"/>
      <c r="G13" s="18">
        <f>+C13+E13</f>
        <v>0</v>
      </c>
      <c r="H13" s="18"/>
      <c r="I13" s="18"/>
      <c r="J13" s="18"/>
      <c r="K13" s="18">
        <f>+G13+I13</f>
        <v>0</v>
      </c>
    </row>
    <row r="14" spans="1:11" ht="13.5">
      <c r="A14" s="1" t="s">
        <v>510</v>
      </c>
      <c r="C14" s="18"/>
      <c r="D14" s="18"/>
      <c r="E14" s="18"/>
      <c r="F14" s="18"/>
      <c r="G14" s="18">
        <f>+C14+E14</f>
        <v>0</v>
      </c>
      <c r="H14" s="18"/>
      <c r="I14" s="18"/>
      <c r="J14" s="18"/>
      <c r="K14" s="18">
        <f>+G14+I14</f>
        <v>0</v>
      </c>
    </row>
    <row r="15" spans="1:11" ht="13.5">
      <c r="A15" s="1" t="s">
        <v>469</v>
      </c>
      <c r="C15" s="18"/>
      <c r="D15" s="18"/>
      <c r="E15" s="18"/>
      <c r="G15" s="18">
        <f>+C15+E15</f>
        <v>0</v>
      </c>
      <c r="H15" s="18"/>
      <c r="I15" s="18"/>
      <c r="J15" s="26"/>
      <c r="K15" s="18">
        <f>+G15+I15</f>
        <v>0</v>
      </c>
    </row>
    <row r="16" spans="4:10" ht="13.5">
      <c r="D16" s="56"/>
      <c r="H16" s="56"/>
      <c r="J16" s="26"/>
    </row>
    <row r="17" spans="1:11" ht="13.5">
      <c r="A17" s="1" t="s">
        <v>342</v>
      </c>
      <c r="C17" s="30">
        <f>+C9+C10-C12-C13-C14-C15</f>
        <v>0</v>
      </c>
      <c r="D17" s="17"/>
      <c r="E17" s="30">
        <f>+E9+E10-E12-E13-E14-E15</f>
        <v>0</v>
      </c>
      <c r="G17" s="30">
        <f>+G9+G10-G12-G13-G14-G15</f>
        <v>0</v>
      </c>
      <c r="H17" s="17"/>
      <c r="I17" s="30">
        <f>+I9+I10-I12-I13-I14-I15</f>
        <v>0</v>
      </c>
      <c r="J17" s="26"/>
      <c r="K17" s="30">
        <f>+K9+K10-K12-K13-K14-K15</f>
        <v>0</v>
      </c>
    </row>
    <row r="18" spans="4:10" ht="13.5">
      <c r="D18" s="56"/>
      <c r="H18" s="56"/>
      <c r="J18" s="26"/>
    </row>
    <row r="19" spans="1:10" ht="15">
      <c r="A19" s="9" t="s">
        <v>418</v>
      </c>
      <c r="J19" s="26"/>
    </row>
    <row r="20" spans="1:11" ht="13.5">
      <c r="A20" s="1" t="s">
        <v>404</v>
      </c>
      <c r="C20" s="26">
        <v>0</v>
      </c>
      <c r="D20" s="31"/>
      <c r="E20" s="26"/>
      <c r="G20" s="26">
        <f>+C20+E20</f>
        <v>0</v>
      </c>
      <c r="H20" s="26"/>
      <c r="I20" s="26"/>
      <c r="J20" s="26"/>
      <c r="K20" s="26">
        <f>+G20+I20</f>
        <v>0</v>
      </c>
    </row>
    <row r="21" spans="1:11" ht="13.5">
      <c r="A21" s="1" t="s">
        <v>405</v>
      </c>
      <c r="C21" s="26">
        <v>0</v>
      </c>
      <c r="E21" s="26"/>
      <c r="G21" s="26">
        <f>+C21+E21</f>
        <v>0</v>
      </c>
      <c r="H21" s="26"/>
      <c r="I21" s="26"/>
      <c r="J21" s="26"/>
      <c r="K21" s="26">
        <f>+G21+I21</f>
        <v>0</v>
      </c>
    </row>
    <row r="22" ht="6.75" customHeight="1">
      <c r="J22" s="26"/>
    </row>
    <row r="23" spans="1:11" ht="13.5">
      <c r="A23" s="1" t="s">
        <v>406</v>
      </c>
      <c r="C23" s="26">
        <v>0</v>
      </c>
      <c r="E23" s="26"/>
      <c r="G23" s="26">
        <f>+C23+E23</f>
        <v>0</v>
      </c>
      <c r="H23" s="26"/>
      <c r="I23" s="26"/>
      <c r="J23" s="26"/>
      <c r="K23" s="26">
        <f>+G23+I23</f>
        <v>0</v>
      </c>
    </row>
    <row r="24" spans="1:11" ht="13.5">
      <c r="A24" s="1" t="s">
        <v>395</v>
      </c>
      <c r="C24" s="18">
        <v>0</v>
      </c>
      <c r="E24" s="44"/>
      <c r="G24" s="18">
        <f>+C24+E24</f>
        <v>0</v>
      </c>
      <c r="H24" s="18"/>
      <c r="I24" s="18"/>
      <c r="J24" s="26"/>
      <c r="K24" s="18">
        <f>+G24+I24</f>
        <v>0</v>
      </c>
    </row>
    <row r="25" spans="10:11" ht="6.75" customHeight="1">
      <c r="J25" s="26"/>
      <c r="K25" s="18"/>
    </row>
    <row r="26" spans="1:11" ht="13.5">
      <c r="A26" s="1" t="s">
        <v>400</v>
      </c>
      <c r="C26" s="18">
        <v>0</v>
      </c>
      <c r="E26" s="18"/>
      <c r="G26" s="18">
        <f>+C26+E26</f>
        <v>0</v>
      </c>
      <c r="H26" s="18"/>
      <c r="I26" s="18"/>
      <c r="J26" s="26"/>
      <c r="K26" s="18">
        <f>+G26+I26</f>
        <v>0</v>
      </c>
    </row>
    <row r="27" spans="1:11" ht="13.5">
      <c r="A27" s="1" t="s">
        <v>397</v>
      </c>
      <c r="C27" s="18">
        <v>0</v>
      </c>
      <c r="E27" s="18"/>
      <c r="G27" s="18">
        <f>+C27+E27</f>
        <v>0</v>
      </c>
      <c r="H27" s="18"/>
      <c r="I27" s="18"/>
      <c r="J27" s="26"/>
      <c r="K27" s="18">
        <f>+G27+I27</f>
        <v>0</v>
      </c>
    </row>
    <row r="28" spans="1:11" ht="13.5">
      <c r="A28" s="1" t="s">
        <v>510</v>
      </c>
      <c r="C28" s="18">
        <v>0</v>
      </c>
      <c r="E28" s="18"/>
      <c r="G28" s="18">
        <f>+C28+E28</f>
        <v>0</v>
      </c>
      <c r="H28" s="18"/>
      <c r="I28" s="18"/>
      <c r="J28" s="26"/>
      <c r="K28" s="18">
        <f>+G28+I28</f>
        <v>0</v>
      </c>
    </row>
    <row r="29" spans="7:11" ht="6.75" customHeight="1">
      <c r="G29" s="18"/>
      <c r="H29" s="18"/>
      <c r="J29" s="26"/>
      <c r="K29" s="18"/>
    </row>
    <row r="30" spans="1:11" ht="13.5">
      <c r="A30" s="1" t="s">
        <v>401</v>
      </c>
      <c r="C30" s="18">
        <v>0</v>
      </c>
      <c r="D30" s="89"/>
      <c r="E30" s="18"/>
      <c r="G30" s="18">
        <f>+C30+E30</f>
        <v>0</v>
      </c>
      <c r="H30" s="89"/>
      <c r="I30" s="18"/>
      <c r="J30" s="26"/>
      <c r="K30" s="18">
        <f>+G30+I30</f>
        <v>0</v>
      </c>
    </row>
    <row r="31" spans="1:11" ht="13.5">
      <c r="A31" s="1" t="s">
        <v>417</v>
      </c>
      <c r="C31" s="30">
        <f>+C23-C26-C27-C28+C30+C24</f>
        <v>0</v>
      </c>
      <c r="D31" s="17"/>
      <c r="E31" s="30">
        <f>+E23-E26-E27-E28+E30+E24</f>
        <v>0</v>
      </c>
      <c r="G31" s="30">
        <f>+G23-G26-G27-G28+G30+G24</f>
        <v>0</v>
      </c>
      <c r="H31" s="17"/>
      <c r="I31" s="30">
        <f>+I23-I26-I27-I28+I30+I24</f>
        <v>0</v>
      </c>
      <c r="J31" s="26"/>
      <c r="K31" s="30">
        <f>+K23-K26-K27-K28+K30+K24</f>
        <v>0</v>
      </c>
    </row>
    <row r="32" spans="4:10" ht="13.5">
      <c r="D32" s="56"/>
      <c r="H32" s="56"/>
      <c r="J32" s="26"/>
    </row>
    <row r="33" spans="1:11" ht="13.5">
      <c r="A33" s="1" t="s">
        <v>376</v>
      </c>
      <c r="D33" s="56"/>
      <c r="H33" s="56"/>
      <c r="J33" s="26"/>
      <c r="K33" s="23"/>
    </row>
    <row r="34" spans="1:11" ht="13.5">
      <c r="A34" s="1" t="s">
        <v>465</v>
      </c>
      <c r="D34" s="56"/>
      <c r="H34" s="56"/>
      <c r="J34" s="26"/>
      <c r="K34" s="26"/>
    </row>
    <row r="35" spans="1:11" ht="13.5">
      <c r="A35" s="1" t="s">
        <v>463</v>
      </c>
      <c r="D35" s="56"/>
      <c r="H35" s="56"/>
      <c r="J35" s="26"/>
      <c r="K35" s="26"/>
    </row>
    <row r="36" spans="1:11" ht="13.5">
      <c r="A36" s="1" t="s">
        <v>464</v>
      </c>
      <c r="B36" s="24"/>
      <c r="J36" s="26"/>
      <c r="K36" s="23"/>
    </row>
    <row r="37" spans="1:11" ht="13.5">
      <c r="A37" s="1" t="s">
        <v>466</v>
      </c>
      <c r="B37" s="24"/>
      <c r="J37" s="26"/>
      <c r="K37" s="23"/>
    </row>
    <row r="38" spans="1:11" ht="13.5">
      <c r="A38" s="1" t="s">
        <v>3</v>
      </c>
      <c r="B38" s="24"/>
      <c r="J38" s="26"/>
      <c r="K38" s="23"/>
    </row>
    <row r="39" spans="1:11" ht="13.5">
      <c r="A39" s="1" t="s">
        <v>467</v>
      </c>
      <c r="B39" s="24"/>
      <c r="J39" s="26"/>
      <c r="K39" s="23"/>
    </row>
    <row r="40" spans="1:11" ht="13.5">
      <c r="A40" s="1" t="s">
        <v>528</v>
      </c>
      <c r="B40" s="24"/>
      <c r="J40" s="26"/>
      <c r="K40" s="23"/>
    </row>
    <row r="41" spans="1:11" ht="13.5">
      <c r="A41" s="1" t="s">
        <v>482</v>
      </c>
      <c r="J41" s="26"/>
      <c r="K41" s="23"/>
    </row>
    <row r="42" spans="1:11" ht="14.25" thickBot="1">
      <c r="A42" s="14" t="s">
        <v>386</v>
      </c>
      <c r="J42" s="26"/>
      <c r="K42" s="35">
        <f>+K31+K33+K36+K39-K40-K41+K17</f>
        <v>0</v>
      </c>
    </row>
    <row r="43" spans="10:11" ht="14.25" thickTop="1">
      <c r="J43" s="26"/>
      <c r="K43" s="23"/>
    </row>
    <row r="44" spans="1:11" ht="13.5">
      <c r="A44" s="14" t="s">
        <v>512</v>
      </c>
      <c r="J44" s="26"/>
      <c r="K44" s="23"/>
    </row>
    <row r="45" spans="1:10" ht="13.5">
      <c r="A45" s="1" t="s">
        <v>343</v>
      </c>
      <c r="C45" s="32" t="e">
        <f>+C12/C9</f>
        <v>#DIV/0!</v>
      </c>
      <c r="D45" s="32"/>
      <c r="E45" s="32" t="e">
        <f>+E12/E9</f>
        <v>#DIV/0!</v>
      </c>
      <c r="G45" s="32" t="e">
        <f>+G12/G9</f>
        <v>#DIV/0!</v>
      </c>
      <c r="H45" s="32"/>
      <c r="J45" s="26"/>
    </row>
    <row r="46" spans="1:10" ht="13.5">
      <c r="A46" s="1" t="s">
        <v>529</v>
      </c>
      <c r="C46" s="32" t="e">
        <f>+(C14+C13)/C9</f>
        <v>#DIV/0!</v>
      </c>
      <c r="D46" s="40"/>
      <c r="E46" s="32" t="e">
        <f>+(E14+E13)/E9</f>
        <v>#DIV/0!</v>
      </c>
      <c r="G46" s="32" t="e">
        <f>+(G14+G13)/G9-0.001</f>
        <v>#DIV/0!</v>
      </c>
      <c r="H46" s="32"/>
      <c r="J46" s="26"/>
    </row>
    <row r="47" spans="1:10" ht="14.25" thickBot="1">
      <c r="A47" s="1" t="s">
        <v>346</v>
      </c>
      <c r="C47" s="39" t="e">
        <f>+C45+C46</f>
        <v>#DIV/0!</v>
      </c>
      <c r="D47" s="40"/>
      <c r="E47" s="39" t="e">
        <f>+E45+E46</f>
        <v>#DIV/0!</v>
      </c>
      <c r="G47" s="39" t="e">
        <f>+G45+G46+0.001</f>
        <v>#DIV/0!</v>
      </c>
      <c r="H47" s="40"/>
      <c r="J47" s="26"/>
    </row>
    <row r="48" spans="4:10" ht="12" customHeight="1" thickTop="1">
      <c r="D48" s="56"/>
      <c r="J48" s="26"/>
    </row>
    <row r="49" spans="1:10" ht="13.5">
      <c r="A49" s="14" t="s">
        <v>347</v>
      </c>
      <c r="J49" s="26"/>
    </row>
    <row r="50" spans="1:11" ht="13.5">
      <c r="A50" s="342" t="s">
        <v>534</v>
      </c>
      <c r="B50" s="342"/>
      <c r="C50" s="342"/>
      <c r="D50" s="342"/>
      <c r="E50" s="342"/>
      <c r="F50" s="342"/>
      <c r="G50" s="342"/>
      <c r="H50" s="342"/>
      <c r="I50" s="342"/>
      <c r="J50" s="342"/>
      <c r="K50" s="342"/>
    </row>
    <row r="51" spans="1:11" ht="13.5">
      <c r="A51" s="342"/>
      <c r="B51" s="342"/>
      <c r="C51" s="342"/>
      <c r="D51" s="342"/>
      <c r="E51" s="342"/>
      <c r="F51" s="342"/>
      <c r="G51" s="342"/>
      <c r="H51" s="342"/>
      <c r="I51" s="342"/>
      <c r="J51" s="342"/>
      <c r="K51" s="342"/>
    </row>
    <row r="52" spans="1:10" ht="13.5">
      <c r="A52" s="1" t="s">
        <v>535</v>
      </c>
      <c r="J52" s="26"/>
    </row>
    <row r="53" spans="1:11" ht="13.5" customHeight="1">
      <c r="A53" s="338" t="s">
        <v>542</v>
      </c>
      <c r="B53" s="338"/>
      <c r="C53" s="338"/>
      <c r="D53" s="338"/>
      <c r="E53" s="338"/>
      <c r="F53" s="338"/>
      <c r="G53" s="338"/>
      <c r="H53" s="338"/>
      <c r="I53" s="338"/>
      <c r="J53" s="338"/>
      <c r="K53" s="338"/>
    </row>
    <row r="54" spans="1:11" ht="13.5">
      <c r="A54" s="332" t="s">
        <v>15</v>
      </c>
      <c r="B54" s="332"/>
      <c r="C54" s="332"/>
      <c r="D54" s="332"/>
      <c r="E54" s="332"/>
      <c r="F54" s="332"/>
      <c r="G54" s="332"/>
      <c r="H54" s="332"/>
      <c r="I54" s="332"/>
      <c r="J54" s="332"/>
      <c r="K54" s="332"/>
    </row>
    <row r="55" spans="1:11" ht="13.5">
      <c r="A55" s="332"/>
      <c r="B55" s="332"/>
      <c r="C55" s="332"/>
      <c r="D55" s="332"/>
      <c r="E55" s="332"/>
      <c r="F55" s="332"/>
      <c r="G55" s="332"/>
      <c r="H55" s="332"/>
      <c r="I55" s="332"/>
      <c r="J55" s="332"/>
      <c r="K55" s="332"/>
    </row>
  </sheetData>
  <mergeCells count="3">
    <mergeCell ref="A53:K53"/>
    <mergeCell ref="A50:K51"/>
    <mergeCell ref="A54:K55"/>
  </mergeCells>
  <printOptions horizontalCentered="1" verticalCentered="1"/>
  <pageMargins left="0.75" right="0.75" top="1" bottom="0.6" header="0.5" footer="0.5"/>
  <pageSetup horizontalDpi="600" verticalDpi="600" orientation="landscape" scale="68" r:id="rId2"/>
  <headerFooter alignWithMargins="0">
    <oddHeader>&amp;L&amp;G&amp;C&amp;"Optima,Bold"&amp;18SEGMENT INFORMATION
&amp;16FOR THE TWELVE MONTHS ENDED DECEMBER 31, 2002
&amp;"Optima,Regular"&amp;12(U.S. dollars in thousands)
(Unaudited)</oddHeader>
    <oddFooter>&amp;C&amp;"Optima,Regular"19</oddFooter>
  </headerFooter>
  <legacyDrawingHF r:id="rId1"/>
</worksheet>
</file>

<file path=xl/worksheets/sheet25.xml><?xml version="1.0" encoding="utf-8"?>
<worksheet xmlns="http://schemas.openxmlformats.org/spreadsheetml/2006/main" xmlns:r="http://schemas.openxmlformats.org/officeDocument/2006/relationships">
  <sheetPr codeName="Sheet20"/>
  <dimension ref="A1:K56"/>
  <sheetViews>
    <sheetView workbookViewId="0" topLeftCell="A32">
      <selection activeCell="E36" sqref="E35:E36"/>
    </sheetView>
  </sheetViews>
  <sheetFormatPr defaultColWidth="9.140625" defaultRowHeight="12.75"/>
  <cols>
    <col min="1" max="1" width="4.8515625" style="1" customWidth="1"/>
    <col min="2" max="2" width="27.7109375" style="1" customWidth="1"/>
    <col min="3" max="3" width="16.7109375" style="1" customWidth="1"/>
    <col min="4" max="4" width="3.7109375" style="1" customWidth="1"/>
    <col min="5" max="5" width="16.7109375" style="1" customWidth="1"/>
    <col min="6" max="6" width="3.28125" style="1" customWidth="1"/>
    <col min="7" max="7" width="16.7109375" style="1" customWidth="1"/>
    <col min="8" max="8" width="3.00390625" style="1" customWidth="1"/>
    <col min="9" max="9" width="14.57421875" style="1" customWidth="1"/>
    <col min="10" max="10" width="3.7109375" style="1" customWidth="1"/>
    <col min="11" max="11" width="16.7109375" style="1" customWidth="1"/>
    <col min="12" max="16384" width="9.140625" style="1" customWidth="1"/>
  </cols>
  <sheetData>
    <row r="1" spans="2:10" ht="15">
      <c r="B1" s="2"/>
      <c r="E1" s="2"/>
      <c r="F1" s="2"/>
      <c r="G1" s="21" t="s">
        <v>389</v>
      </c>
      <c r="I1" s="21" t="s">
        <v>391</v>
      </c>
      <c r="J1" s="2"/>
    </row>
    <row r="2" spans="2:10" ht="15">
      <c r="B2" s="2"/>
      <c r="E2" s="2"/>
      <c r="F2" s="2"/>
      <c r="G2" s="21" t="s">
        <v>390</v>
      </c>
      <c r="I2" s="21" t="s">
        <v>392</v>
      </c>
      <c r="J2" s="2"/>
    </row>
    <row r="3" spans="1:11" ht="15">
      <c r="A3" s="77"/>
      <c r="C3" s="21" t="s">
        <v>387</v>
      </c>
      <c r="E3" s="21" t="s">
        <v>388</v>
      </c>
      <c r="G3" s="21" t="s">
        <v>388</v>
      </c>
      <c r="I3" s="21" t="s">
        <v>393</v>
      </c>
      <c r="K3" s="21" t="s">
        <v>394</v>
      </c>
    </row>
    <row r="4" ht="15">
      <c r="A4" s="9" t="s">
        <v>590</v>
      </c>
    </row>
    <row r="5" spans="1:11" ht="13.5">
      <c r="A5" s="1" t="s">
        <v>404</v>
      </c>
      <c r="C5" s="26"/>
      <c r="D5" s="26"/>
      <c r="E5" s="26"/>
      <c r="F5" s="26"/>
      <c r="G5" s="26">
        <f>+E5+C5</f>
        <v>0</v>
      </c>
      <c r="H5" s="26"/>
      <c r="I5" s="26"/>
      <c r="J5" s="26"/>
      <c r="K5" s="26">
        <f>+G5+I5</f>
        <v>0</v>
      </c>
    </row>
    <row r="6" spans="1:11" ht="13.5">
      <c r="A6" s="1" t="s">
        <v>405</v>
      </c>
      <c r="C6" s="26"/>
      <c r="D6" s="26"/>
      <c r="E6" s="26"/>
      <c r="F6" s="26"/>
      <c r="G6" s="26">
        <f>+E6+C6</f>
        <v>0</v>
      </c>
      <c r="H6" s="26"/>
      <c r="I6" s="26"/>
      <c r="J6" s="26"/>
      <c r="K6" s="26">
        <f>+G6+I6</f>
        <v>0</v>
      </c>
    </row>
    <row r="7" ht="6.75" customHeight="1"/>
    <row r="8" spans="1:11" ht="13.5">
      <c r="A8" s="1" t="s">
        <v>406</v>
      </c>
      <c r="C8" s="26"/>
      <c r="D8" s="26"/>
      <c r="E8" s="26"/>
      <c r="F8" s="26"/>
      <c r="G8" s="26">
        <f>+C8+E8</f>
        <v>0</v>
      </c>
      <c r="H8" s="26"/>
      <c r="I8" s="26"/>
      <c r="J8" s="26"/>
      <c r="K8" s="26">
        <f>+G8+I8</f>
        <v>0</v>
      </c>
    </row>
    <row r="9" spans="1:11" ht="13.5">
      <c r="A9" s="1" t="s">
        <v>395</v>
      </c>
      <c r="C9" s="18"/>
      <c r="D9" s="18"/>
      <c r="E9" s="18"/>
      <c r="F9" s="18"/>
      <c r="G9" s="18">
        <f>+C9+E9</f>
        <v>0</v>
      </c>
      <c r="H9" s="18"/>
      <c r="I9" s="18"/>
      <c r="J9" s="18"/>
      <c r="K9" s="18">
        <f>+G9+I9</f>
        <v>0</v>
      </c>
    </row>
    <row r="10" spans="3:11" ht="6.75" customHeight="1">
      <c r="C10" s="18"/>
      <c r="D10" s="18"/>
      <c r="E10" s="18"/>
      <c r="F10" s="18"/>
      <c r="G10" s="18"/>
      <c r="H10" s="18"/>
      <c r="I10" s="18"/>
      <c r="J10" s="18"/>
      <c r="K10" s="18"/>
    </row>
    <row r="11" spans="1:11" ht="13.5">
      <c r="A11" s="1" t="s">
        <v>396</v>
      </c>
      <c r="C11" s="18"/>
      <c r="D11" s="18"/>
      <c r="E11" s="18"/>
      <c r="F11" s="18"/>
      <c r="G11" s="18">
        <f>+C11+E11</f>
        <v>0</v>
      </c>
      <c r="H11" s="18"/>
      <c r="I11" s="18"/>
      <c r="J11" s="18"/>
      <c r="K11" s="18">
        <f>+G11+I11</f>
        <v>0</v>
      </c>
    </row>
    <row r="12" spans="1:11" ht="13.5">
      <c r="A12" s="1" t="s">
        <v>397</v>
      </c>
      <c r="C12" s="18"/>
      <c r="D12" s="18"/>
      <c r="E12" s="18"/>
      <c r="F12" s="18"/>
      <c r="G12" s="18">
        <f>+C12+E12</f>
        <v>0</v>
      </c>
      <c r="H12" s="18"/>
      <c r="I12" s="18"/>
      <c r="J12" s="18"/>
      <c r="K12" s="18">
        <f>+G12+I12</f>
        <v>0</v>
      </c>
    </row>
    <row r="13" spans="1:11" ht="13.5">
      <c r="A13" s="1" t="s">
        <v>510</v>
      </c>
      <c r="C13" s="18"/>
      <c r="D13" s="18"/>
      <c r="E13" s="18"/>
      <c r="F13" s="18"/>
      <c r="G13" s="18">
        <f>+C13+E13</f>
        <v>0</v>
      </c>
      <c r="H13" s="18"/>
      <c r="I13" s="18"/>
      <c r="J13" s="18"/>
      <c r="K13" s="18">
        <f>+G13+I13</f>
        <v>0</v>
      </c>
    </row>
    <row r="14" spans="1:11" ht="13.5">
      <c r="A14" s="1" t="s">
        <v>487</v>
      </c>
      <c r="C14" s="18"/>
      <c r="D14" s="18"/>
      <c r="E14" s="18"/>
      <c r="G14" s="18">
        <f>+C14+E14</f>
        <v>0</v>
      </c>
      <c r="H14" s="89"/>
      <c r="I14" s="18"/>
      <c r="J14" s="26"/>
      <c r="K14" s="18">
        <f>+G14+I14</f>
        <v>0</v>
      </c>
    </row>
    <row r="15" spans="8:10" ht="13.5">
      <c r="H15" s="56"/>
      <c r="J15" s="26"/>
    </row>
    <row r="16" spans="1:11" ht="13.5">
      <c r="A16" s="1" t="s">
        <v>399</v>
      </c>
      <c r="C16" s="30">
        <f>+C8+C9-C11-C12-C13-C14</f>
        <v>0</v>
      </c>
      <c r="D16" s="17"/>
      <c r="E16" s="30">
        <f>+E8+E9-E11-E12-E13-E14</f>
        <v>0</v>
      </c>
      <c r="G16" s="30">
        <f>+G8+G9-G11-G12-G13-G14</f>
        <v>0</v>
      </c>
      <c r="H16" s="17"/>
      <c r="I16" s="30">
        <f>+I8+I9-I11-I12-I13-I14</f>
        <v>0</v>
      </c>
      <c r="J16" s="26"/>
      <c r="K16" s="30">
        <f>+K8+K9-K11-K12-K13-K14</f>
        <v>0</v>
      </c>
    </row>
    <row r="17" spans="8:10" ht="13.5">
      <c r="H17" s="56"/>
      <c r="J17" s="26"/>
    </row>
    <row r="18" spans="1:10" ht="15">
      <c r="A18" s="9" t="s">
        <v>418</v>
      </c>
      <c r="H18" s="56"/>
      <c r="J18" s="26"/>
    </row>
    <row r="19" spans="1:11" ht="13.5">
      <c r="A19" s="1" t="s">
        <v>404</v>
      </c>
      <c r="C19" s="26">
        <v>0</v>
      </c>
      <c r="D19" s="31"/>
      <c r="E19" s="26"/>
      <c r="G19" s="26">
        <f>+C19+E19</f>
        <v>0</v>
      </c>
      <c r="H19" s="26"/>
      <c r="I19" s="26"/>
      <c r="J19" s="26"/>
      <c r="K19" s="26">
        <f>+G19+I19</f>
        <v>0</v>
      </c>
    </row>
    <row r="20" spans="1:11" ht="13.5">
      <c r="A20" s="1" t="s">
        <v>405</v>
      </c>
      <c r="C20" s="26">
        <v>0</v>
      </c>
      <c r="E20" s="26"/>
      <c r="G20" s="26">
        <f>+C20+E20</f>
        <v>0</v>
      </c>
      <c r="H20" s="26"/>
      <c r="I20" s="26"/>
      <c r="J20" s="26"/>
      <c r="K20" s="26">
        <f>+G20+I20</f>
        <v>0</v>
      </c>
    </row>
    <row r="21" ht="6.75" customHeight="1">
      <c r="J21" s="26"/>
    </row>
    <row r="22" spans="1:11" ht="13.5">
      <c r="A22" s="1" t="s">
        <v>406</v>
      </c>
      <c r="C22" s="26">
        <v>0</v>
      </c>
      <c r="E22" s="26"/>
      <c r="G22" s="26">
        <f>+C22+E22</f>
        <v>0</v>
      </c>
      <c r="H22" s="26"/>
      <c r="I22" s="26"/>
      <c r="J22" s="26"/>
      <c r="K22" s="26">
        <f>+G22+I22</f>
        <v>0</v>
      </c>
    </row>
    <row r="23" spans="1:11" ht="13.5">
      <c r="A23" s="1" t="s">
        <v>395</v>
      </c>
      <c r="C23" s="18">
        <v>0</v>
      </c>
      <c r="E23" s="18"/>
      <c r="G23" s="18">
        <f>+C23+E23</f>
        <v>0</v>
      </c>
      <c r="H23" s="18"/>
      <c r="I23" s="18"/>
      <c r="J23" s="26"/>
      <c r="K23" s="18">
        <f>+G23+I23</f>
        <v>0</v>
      </c>
    </row>
    <row r="24" spans="10:11" ht="6.75" customHeight="1">
      <c r="J24" s="26"/>
      <c r="K24" s="18"/>
    </row>
    <row r="25" spans="1:11" ht="13.5">
      <c r="A25" s="1" t="s">
        <v>400</v>
      </c>
      <c r="C25" s="18">
        <v>0</v>
      </c>
      <c r="E25" s="18"/>
      <c r="G25" s="18">
        <f>+C25+E25</f>
        <v>0</v>
      </c>
      <c r="H25" s="18"/>
      <c r="I25" s="18"/>
      <c r="J25" s="26"/>
      <c r="K25" s="18">
        <f>+G25+I25</f>
        <v>0</v>
      </c>
    </row>
    <row r="26" spans="1:11" ht="13.5">
      <c r="A26" s="1" t="s">
        <v>397</v>
      </c>
      <c r="C26" s="18">
        <v>0</v>
      </c>
      <c r="E26" s="18"/>
      <c r="G26" s="18">
        <f>+C26+E26</f>
        <v>0</v>
      </c>
      <c r="H26" s="18"/>
      <c r="I26" s="18"/>
      <c r="J26" s="26"/>
      <c r="K26" s="18">
        <f>+G26+I26</f>
        <v>0</v>
      </c>
    </row>
    <row r="27" spans="1:11" ht="13.5">
      <c r="A27" s="1" t="s">
        <v>510</v>
      </c>
      <c r="C27" s="18">
        <v>0</v>
      </c>
      <c r="E27" s="18"/>
      <c r="G27" s="18">
        <f>+C27+E27</f>
        <v>0</v>
      </c>
      <c r="H27" s="18"/>
      <c r="I27" s="18"/>
      <c r="J27" s="26"/>
      <c r="K27" s="18">
        <f>+G27+I27</f>
        <v>0</v>
      </c>
    </row>
    <row r="28" spans="7:11" ht="6.75" customHeight="1">
      <c r="G28" s="18"/>
      <c r="H28" s="18"/>
      <c r="I28" s="18"/>
      <c r="J28" s="26"/>
      <c r="K28" s="18"/>
    </row>
    <row r="29" spans="1:11" ht="13.5">
      <c r="A29" s="1" t="s">
        <v>401</v>
      </c>
      <c r="C29" s="18">
        <v>0</v>
      </c>
      <c r="D29" s="18"/>
      <c r="E29" s="18"/>
      <c r="G29" s="18">
        <f>+C29+E29</f>
        <v>0</v>
      </c>
      <c r="H29" s="18"/>
      <c r="I29" s="18"/>
      <c r="J29" s="26"/>
      <c r="K29" s="18">
        <f>+G29+I29</f>
        <v>0</v>
      </c>
    </row>
    <row r="30" spans="1:11" ht="13.5">
      <c r="A30" s="1" t="s">
        <v>511</v>
      </c>
      <c r="C30" s="30">
        <f>+C22-C25-C26-C27+C29+C23</f>
        <v>0</v>
      </c>
      <c r="D30" s="17"/>
      <c r="E30" s="30">
        <f>+E22-E25-E26-E27+E29+E23</f>
        <v>0</v>
      </c>
      <c r="G30" s="30">
        <f>+G22-G25-G26-G27+G29+G23</f>
        <v>0</v>
      </c>
      <c r="H30" s="17"/>
      <c r="I30" s="30">
        <f>+I22-I25-I26-I27+I29+I23</f>
        <v>0</v>
      </c>
      <c r="J30" s="26"/>
      <c r="K30" s="30">
        <f>+K22-K25-K26-K27+K29+K23</f>
        <v>0</v>
      </c>
    </row>
    <row r="31" ht="13.5">
      <c r="J31" s="26"/>
    </row>
    <row r="32" spans="1:11" ht="13.5">
      <c r="A32" s="1" t="s">
        <v>376</v>
      </c>
      <c r="J32" s="26"/>
      <c r="K32" s="18"/>
    </row>
    <row r="33" spans="1:11" ht="13.5">
      <c r="A33" s="1" t="s">
        <v>465</v>
      </c>
      <c r="J33" s="26"/>
      <c r="K33" s="26"/>
    </row>
    <row r="34" spans="1:11" ht="13.5">
      <c r="A34" s="1" t="s">
        <v>463</v>
      </c>
      <c r="J34" s="26"/>
      <c r="K34" s="26"/>
    </row>
    <row r="35" spans="1:11" ht="13.5">
      <c r="A35" s="1" t="s">
        <v>464</v>
      </c>
      <c r="B35" s="24"/>
      <c r="J35" s="26"/>
      <c r="K35" s="23"/>
    </row>
    <row r="36" spans="1:11" ht="13.5">
      <c r="A36" s="1" t="s">
        <v>466</v>
      </c>
      <c r="B36" s="24"/>
      <c r="J36" s="26"/>
      <c r="K36" s="23"/>
    </row>
    <row r="37" spans="1:11" ht="13.5">
      <c r="A37" s="1" t="s">
        <v>3</v>
      </c>
      <c r="B37" s="24"/>
      <c r="J37" s="26"/>
      <c r="K37" s="23"/>
    </row>
    <row r="38" spans="1:11" ht="13.5">
      <c r="A38" s="1" t="s">
        <v>467</v>
      </c>
      <c r="B38" s="24"/>
      <c r="J38" s="26"/>
      <c r="K38" s="23"/>
    </row>
    <row r="39" spans="1:11" ht="13.5">
      <c r="A39" s="1" t="s">
        <v>528</v>
      </c>
      <c r="B39" s="24"/>
      <c r="J39" s="26"/>
      <c r="K39" s="23"/>
    </row>
    <row r="40" spans="1:11" ht="13.5">
      <c r="A40" s="1" t="s">
        <v>482</v>
      </c>
      <c r="J40" s="26"/>
      <c r="K40" s="23"/>
    </row>
    <row r="41" spans="1:11" ht="14.25" thickBot="1">
      <c r="A41" s="14" t="s">
        <v>416</v>
      </c>
      <c r="J41" s="26"/>
      <c r="K41" s="35">
        <f>+K30+K32-K35+K38-K39-K40+K16</f>
        <v>0</v>
      </c>
    </row>
    <row r="42" spans="10:11" ht="14.25" thickTop="1">
      <c r="J42" s="26"/>
      <c r="K42" s="23"/>
    </row>
    <row r="43" spans="1:11" ht="13.5">
      <c r="A43" s="14" t="s">
        <v>512</v>
      </c>
      <c r="J43" s="26"/>
      <c r="K43" s="23"/>
    </row>
    <row r="44" spans="1:10" ht="13.5">
      <c r="A44" s="1" t="s">
        <v>343</v>
      </c>
      <c r="C44" s="32" t="e">
        <f>+C11/C8</f>
        <v>#DIV/0!</v>
      </c>
      <c r="D44" s="32"/>
      <c r="E44" s="32" t="e">
        <f>+E11/E8</f>
        <v>#DIV/0!</v>
      </c>
      <c r="G44" s="32" t="e">
        <f>+G11/G8</f>
        <v>#DIV/0!</v>
      </c>
      <c r="H44" s="32"/>
      <c r="J44" s="26"/>
    </row>
    <row r="45" spans="1:10" ht="13.5">
      <c r="A45" s="1" t="s">
        <v>529</v>
      </c>
      <c r="C45" s="32" t="e">
        <f>+(C13+C12)/C8</f>
        <v>#DIV/0!</v>
      </c>
      <c r="D45" s="40"/>
      <c r="E45" s="32" t="e">
        <f>+(E13+E12)/E8</f>
        <v>#DIV/0!</v>
      </c>
      <c r="G45" s="32" t="e">
        <f>+(G13+G12)/G8+0.001</f>
        <v>#DIV/0!</v>
      </c>
      <c r="H45" s="32"/>
      <c r="J45" s="26"/>
    </row>
    <row r="46" spans="1:10" ht="14.25" thickBot="1">
      <c r="A46" s="1" t="s">
        <v>346</v>
      </c>
      <c r="C46" s="39" t="e">
        <f>+C44+C45</f>
        <v>#DIV/0!</v>
      </c>
      <c r="D46" s="40"/>
      <c r="E46" s="39" t="e">
        <f>+E44+E45</f>
        <v>#DIV/0!</v>
      </c>
      <c r="G46" s="39" t="e">
        <f>+G44+G45-0.001</f>
        <v>#DIV/0!</v>
      </c>
      <c r="H46" s="40"/>
      <c r="J46" s="26"/>
    </row>
    <row r="47" spans="4:10" ht="14.25" thickTop="1">
      <c r="D47" s="56"/>
      <c r="J47" s="26"/>
    </row>
    <row r="48" spans="1:10" ht="13.5">
      <c r="A48" s="14" t="s">
        <v>347</v>
      </c>
      <c r="J48" s="26"/>
    </row>
    <row r="49" spans="1:11" ht="13.5">
      <c r="A49" s="338" t="s">
        <v>25</v>
      </c>
      <c r="B49" s="338"/>
      <c r="C49" s="338"/>
      <c r="D49" s="338"/>
      <c r="E49" s="338"/>
      <c r="F49" s="338"/>
      <c r="G49" s="338"/>
      <c r="H49" s="338"/>
      <c r="I49" s="338"/>
      <c r="J49" s="338"/>
      <c r="K49" s="338"/>
    </row>
    <row r="50" spans="1:11" ht="13.5">
      <c r="A50" s="338"/>
      <c r="B50" s="338"/>
      <c r="C50" s="338"/>
      <c r="D50" s="338"/>
      <c r="E50" s="338"/>
      <c r="F50" s="338"/>
      <c r="G50" s="338"/>
      <c r="H50" s="338"/>
      <c r="I50" s="338"/>
      <c r="J50" s="338"/>
      <c r="K50" s="338"/>
    </row>
    <row r="51" spans="1:11" ht="13.5" customHeight="1">
      <c r="A51" s="338" t="s">
        <v>530</v>
      </c>
      <c r="B51" s="338"/>
      <c r="C51" s="338"/>
      <c r="D51" s="338"/>
      <c r="E51" s="338"/>
      <c r="F51" s="338"/>
      <c r="G51" s="338"/>
      <c r="H51" s="338"/>
      <c r="I51" s="338"/>
      <c r="J51" s="338"/>
      <c r="K51" s="338"/>
    </row>
    <row r="52" spans="1:11" ht="13.5">
      <c r="A52" s="338"/>
      <c r="B52" s="338"/>
      <c r="C52" s="338"/>
      <c r="D52" s="338"/>
      <c r="E52" s="338"/>
      <c r="F52" s="338"/>
      <c r="G52" s="338"/>
      <c r="H52" s="338"/>
      <c r="I52" s="338"/>
      <c r="J52" s="338"/>
      <c r="K52" s="338"/>
    </row>
    <row r="53" spans="1:11" ht="13.5" customHeight="1">
      <c r="A53" s="338" t="s">
        <v>542</v>
      </c>
      <c r="B53" s="338"/>
      <c r="C53" s="338"/>
      <c r="D53" s="338"/>
      <c r="E53" s="338"/>
      <c r="F53" s="338"/>
      <c r="G53" s="338"/>
      <c r="H53" s="338"/>
      <c r="I53" s="338"/>
      <c r="J53" s="338"/>
      <c r="K53" s="338"/>
    </row>
    <row r="54" spans="1:11" ht="13.5">
      <c r="A54" s="338"/>
      <c r="B54" s="338"/>
      <c r="C54" s="338"/>
      <c r="D54" s="338"/>
      <c r="E54" s="338"/>
      <c r="F54" s="338"/>
      <c r="G54" s="338"/>
      <c r="H54" s="338"/>
      <c r="I54" s="338"/>
      <c r="J54" s="338"/>
      <c r="K54" s="338"/>
    </row>
    <row r="55" spans="1:11" ht="13.5" customHeight="1">
      <c r="A55" s="332" t="s">
        <v>15</v>
      </c>
      <c r="B55" s="332"/>
      <c r="C55" s="332"/>
      <c r="D55" s="332"/>
      <c r="E55" s="332"/>
      <c r="F55" s="332"/>
      <c r="G55" s="332"/>
      <c r="H55" s="332"/>
      <c r="I55" s="332"/>
      <c r="J55" s="332"/>
      <c r="K55" s="332"/>
    </row>
    <row r="56" spans="1:11" ht="13.5">
      <c r="A56" s="332"/>
      <c r="B56" s="332"/>
      <c r="C56" s="332"/>
      <c r="D56" s="332"/>
      <c r="E56" s="332"/>
      <c r="F56" s="332"/>
      <c r="G56" s="332"/>
      <c r="H56" s="332"/>
      <c r="I56" s="332"/>
      <c r="J56" s="332"/>
      <c r="K56" s="332"/>
    </row>
  </sheetData>
  <mergeCells count="4">
    <mergeCell ref="A53:K54"/>
    <mergeCell ref="A49:K50"/>
    <mergeCell ref="A51:K52"/>
    <mergeCell ref="A55:K56"/>
  </mergeCells>
  <printOptions horizontalCentered="1" verticalCentered="1"/>
  <pageMargins left="0.75" right="0.75" top="1.21" bottom="0.6" header="0.5" footer="0.5"/>
  <pageSetup horizontalDpi="600" verticalDpi="600" orientation="landscape" scale="65" r:id="rId2"/>
  <headerFooter alignWithMargins="0">
    <oddHeader>&amp;L&amp;G&amp;C&amp;"Optima,Bold"&amp;18SEGMENT INFORMATION
&amp;16FOR THE TWELVE MONTHS ENDED DECEMBER 31, 2001
&amp;"Optima,Regular"&amp;12(U.S. dollars in thousands)
(Unaudited)</oddHeader>
    <oddFooter>&amp;C&amp;"Optima,Regular"20</oddFooter>
  </headerFooter>
  <legacyDrawingHF r:id="rId1"/>
</worksheet>
</file>

<file path=xl/worksheets/sheet26.xml><?xml version="1.0" encoding="utf-8"?>
<worksheet xmlns="http://schemas.openxmlformats.org/spreadsheetml/2006/main" xmlns:r="http://schemas.openxmlformats.org/officeDocument/2006/relationships">
  <sheetPr codeName="Sheet21"/>
  <dimension ref="A3:H30"/>
  <sheetViews>
    <sheetView workbookViewId="0" topLeftCell="A1">
      <pane xSplit="1" ySplit="6" topLeftCell="E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36.7109375" style="1" customWidth="1"/>
    <col min="2" max="4" width="19.7109375" style="1" customWidth="1"/>
    <col min="5" max="5" width="9.140625" style="1" customWidth="1"/>
    <col min="6" max="8" width="19.7109375" style="1" customWidth="1"/>
    <col min="9" max="16384" width="9.140625" style="1" customWidth="1"/>
  </cols>
  <sheetData>
    <row r="3" spans="2:8" ht="15.75">
      <c r="B3" s="341" t="s">
        <v>549</v>
      </c>
      <c r="C3" s="341"/>
      <c r="D3" s="341"/>
      <c r="F3" s="341" t="s">
        <v>550</v>
      </c>
      <c r="G3" s="341"/>
      <c r="H3" s="341"/>
    </row>
    <row r="5" spans="2:8" ht="15">
      <c r="B5" s="21" t="s">
        <v>348</v>
      </c>
      <c r="C5" s="21" t="s">
        <v>514</v>
      </c>
      <c r="D5" s="21" t="s">
        <v>514</v>
      </c>
      <c r="F5" s="21" t="s">
        <v>348</v>
      </c>
      <c r="G5" s="21" t="s">
        <v>514</v>
      </c>
      <c r="H5" s="21" t="s">
        <v>514</v>
      </c>
    </row>
    <row r="6" spans="2:8" ht="15">
      <c r="B6" s="21" t="s">
        <v>349</v>
      </c>
      <c r="C6" s="21" t="s">
        <v>349</v>
      </c>
      <c r="D6" s="21" t="s">
        <v>350</v>
      </c>
      <c r="F6" s="21" t="s">
        <v>349</v>
      </c>
      <c r="G6" s="21" t="s">
        <v>349</v>
      </c>
      <c r="H6" s="21" t="s">
        <v>350</v>
      </c>
    </row>
    <row r="8" spans="1:8" ht="13.5" customHeight="1">
      <c r="A8" s="9"/>
      <c r="B8" s="185"/>
      <c r="C8" s="185"/>
      <c r="D8" s="185"/>
      <c r="E8" s="9"/>
      <c r="F8" s="185"/>
      <c r="G8" s="185"/>
      <c r="H8" s="185"/>
    </row>
    <row r="9" spans="1:8" ht="13.5" customHeight="1">
      <c r="A9" s="186" t="s">
        <v>586</v>
      </c>
      <c r="B9" s="2"/>
      <c r="C9" s="2"/>
      <c r="D9" s="2"/>
      <c r="E9" s="2"/>
      <c r="F9" s="2"/>
      <c r="G9" s="2"/>
      <c r="H9" s="2"/>
    </row>
    <row r="10" spans="1:4" ht="13.5" customHeight="1">
      <c r="A10" s="9" t="s">
        <v>419</v>
      </c>
      <c r="B10" s="21"/>
      <c r="C10" s="21"/>
      <c r="D10" s="21"/>
    </row>
    <row r="11" spans="1:8" ht="13.5" customHeight="1">
      <c r="A11" s="2" t="s">
        <v>351</v>
      </c>
      <c r="B11" s="15"/>
      <c r="C11" s="15"/>
      <c r="D11" s="15"/>
      <c r="E11" s="15"/>
      <c r="F11" s="15"/>
      <c r="G11" s="15"/>
      <c r="H11" s="15"/>
    </row>
    <row r="12" spans="1:8" ht="13.5" customHeight="1">
      <c r="A12" s="2" t="s">
        <v>352</v>
      </c>
      <c r="B12" s="16"/>
      <c r="C12" s="16"/>
      <c r="D12" s="16"/>
      <c r="E12" s="16"/>
      <c r="F12" s="16"/>
      <c r="G12" s="16"/>
      <c r="H12" s="16"/>
    </row>
    <row r="13" spans="1:8" ht="13.5" customHeight="1">
      <c r="A13" s="2" t="s">
        <v>353</v>
      </c>
      <c r="B13" s="16"/>
      <c r="C13" s="16"/>
      <c r="D13" s="16"/>
      <c r="E13" s="16"/>
      <c r="F13" s="16"/>
      <c r="G13" s="16"/>
      <c r="H13" s="16"/>
    </row>
    <row r="14" spans="1:8" ht="13.5" customHeight="1">
      <c r="A14" s="2" t="s">
        <v>354</v>
      </c>
      <c r="B14" s="16"/>
      <c r="C14" s="16"/>
      <c r="D14" s="16"/>
      <c r="E14" s="16"/>
      <c r="F14" s="16"/>
      <c r="G14" s="16"/>
      <c r="H14" s="16"/>
    </row>
    <row r="15" spans="1:8" ht="13.5" customHeight="1">
      <c r="A15" s="2" t="s">
        <v>355</v>
      </c>
      <c r="B15" s="16"/>
      <c r="C15" s="16"/>
      <c r="D15" s="16"/>
      <c r="E15" s="16"/>
      <c r="F15" s="16"/>
      <c r="G15" s="16"/>
      <c r="H15" s="16"/>
    </row>
    <row r="16" spans="1:8" ht="13.5" customHeight="1">
      <c r="A16" s="2" t="s">
        <v>531</v>
      </c>
      <c r="B16" s="16"/>
      <c r="C16" s="16"/>
      <c r="D16" s="16"/>
      <c r="E16" s="16"/>
      <c r="F16" s="16"/>
      <c r="G16" s="16"/>
      <c r="H16" s="16"/>
    </row>
    <row r="17" spans="1:8" ht="13.5" customHeight="1">
      <c r="A17" s="2" t="s">
        <v>356</v>
      </c>
      <c r="B17" s="16"/>
      <c r="C17" s="16"/>
      <c r="D17" s="16"/>
      <c r="E17" s="16"/>
      <c r="F17" s="16"/>
      <c r="G17" s="16"/>
      <c r="H17" s="16"/>
    </row>
    <row r="18" spans="1:8" ht="13.5" customHeight="1">
      <c r="A18" s="2" t="s">
        <v>594</v>
      </c>
      <c r="B18" s="16"/>
      <c r="C18" s="16"/>
      <c r="D18" s="16"/>
      <c r="E18" s="16"/>
      <c r="F18" s="16"/>
      <c r="G18" s="16"/>
      <c r="H18" s="16"/>
    </row>
    <row r="19" spans="1:8" ht="13.5" customHeight="1">
      <c r="A19" s="2" t="s">
        <v>593</v>
      </c>
      <c r="B19" s="41"/>
      <c r="C19" s="41"/>
      <c r="D19" s="41"/>
      <c r="E19" s="16"/>
      <c r="F19" s="41"/>
      <c r="G19" s="41"/>
      <c r="H19" s="41"/>
    </row>
    <row r="20" spans="1:8" ht="13.5" customHeight="1">
      <c r="A20" s="2" t="s">
        <v>358</v>
      </c>
      <c r="B20" s="15">
        <f>SUM(B11:B19)</f>
        <v>0</v>
      </c>
      <c r="C20" s="15">
        <f>SUM(C11:C19)</f>
        <v>0</v>
      </c>
      <c r="D20" s="15">
        <f>SUM(D11:D19)</f>
        <v>0</v>
      </c>
      <c r="E20" s="16"/>
      <c r="F20" s="15">
        <f>SUM(F11:F19)</f>
        <v>0</v>
      </c>
      <c r="G20" s="15">
        <f>SUM(G11:G19)</f>
        <v>0</v>
      </c>
      <c r="H20" s="15">
        <f>SUM(H11:H19)</f>
        <v>0</v>
      </c>
    </row>
    <row r="21" spans="1:8" ht="13.5" customHeight="1">
      <c r="A21" s="2"/>
      <c r="B21" s="15"/>
      <c r="C21" s="16"/>
      <c r="D21" s="16"/>
      <c r="E21" s="16"/>
      <c r="F21" s="16"/>
      <c r="G21" s="16"/>
      <c r="H21" s="16"/>
    </row>
    <row r="22" spans="1:8" ht="13.5" customHeight="1">
      <c r="A22" s="9" t="s">
        <v>513</v>
      </c>
      <c r="B22" s="16"/>
      <c r="C22" s="16"/>
      <c r="D22" s="16"/>
      <c r="E22" s="16"/>
      <c r="F22" s="16"/>
      <c r="G22" s="16"/>
      <c r="H22" s="16"/>
    </row>
    <row r="23" spans="1:8" ht="13.5" customHeight="1">
      <c r="A23" s="2"/>
      <c r="B23" s="16"/>
      <c r="C23" s="16"/>
      <c r="D23" s="16"/>
      <c r="E23" s="16"/>
      <c r="F23" s="16"/>
      <c r="G23" s="16"/>
      <c r="H23" s="16"/>
    </row>
    <row r="24" spans="1:8" ht="13.5" customHeight="1" thickBot="1">
      <c r="A24" s="9" t="s">
        <v>357</v>
      </c>
      <c r="B24" s="42">
        <f>+B20+B22</f>
        <v>0</v>
      </c>
      <c r="C24" s="42">
        <f>+C20+C22</f>
        <v>0</v>
      </c>
      <c r="D24" s="42">
        <f>+D20+D22</f>
        <v>0</v>
      </c>
      <c r="E24" s="9"/>
      <c r="F24" s="42">
        <f>+F20+F22</f>
        <v>0</v>
      </c>
      <c r="G24" s="42">
        <f>+G20+G22</f>
        <v>0</v>
      </c>
      <c r="H24" s="42">
        <f>+H20+H22</f>
        <v>0</v>
      </c>
    </row>
    <row r="25" spans="1:8" ht="13.5" customHeight="1" thickTop="1">
      <c r="A25" s="2"/>
      <c r="B25" s="2"/>
      <c r="C25" s="2"/>
      <c r="D25" s="2"/>
      <c r="E25" s="2"/>
      <c r="F25" s="2"/>
      <c r="G25" s="2"/>
      <c r="H25" s="2"/>
    </row>
    <row r="26" ht="13.5" customHeight="1"/>
    <row r="27" ht="13.5" customHeight="1">
      <c r="A27" s="9" t="s">
        <v>315</v>
      </c>
    </row>
    <row r="28" ht="13.5" customHeight="1">
      <c r="A28" s="1" t="s">
        <v>595</v>
      </c>
    </row>
    <row r="29" spans="1:8" ht="13.5" customHeight="1">
      <c r="A29" s="332" t="s">
        <v>596</v>
      </c>
      <c r="B29" s="332"/>
      <c r="C29" s="332"/>
      <c r="D29" s="332"/>
      <c r="E29" s="332"/>
      <c r="F29" s="332"/>
      <c r="G29" s="332"/>
      <c r="H29" s="332"/>
    </row>
    <row r="30" spans="1:8" ht="13.5" customHeight="1">
      <c r="A30" s="332"/>
      <c r="B30" s="332"/>
      <c r="C30" s="332"/>
      <c r="D30" s="332"/>
      <c r="E30" s="332"/>
      <c r="F30" s="332"/>
      <c r="G30" s="332"/>
      <c r="H30" s="332"/>
    </row>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sheetData>
  <mergeCells count="3">
    <mergeCell ref="A29:H30"/>
    <mergeCell ref="B3:D3"/>
    <mergeCell ref="F3:H3"/>
  </mergeCells>
  <printOptions horizontalCentered="1" verticalCentered="1"/>
  <pageMargins left="0.72" right="0.7" top="1" bottom="1" header="0.5" footer="0.5"/>
  <pageSetup horizontalDpi="600" verticalDpi="600" orientation="landscape" scale="68" r:id="rId2"/>
  <headerFooter alignWithMargins="0">
    <oddHeader>&amp;L&amp;G&amp;C&amp;"Optima,Bold"&amp;18PREMIUMS BY LINE OF BUSINESS
&amp;"Optima,Regular"&amp;12(U.S. dollars in thousands)
(Unaudited)</oddHeader>
    <oddFooter>&amp;C&amp;"Optima,Regular"21</oddFooter>
  </headerFooter>
  <legacyDrawingHF r:id="rId1"/>
</worksheet>
</file>

<file path=xl/worksheets/sheet27.xml><?xml version="1.0" encoding="utf-8"?>
<worksheet xmlns="http://schemas.openxmlformats.org/spreadsheetml/2006/main" xmlns:r="http://schemas.openxmlformats.org/officeDocument/2006/relationships">
  <sheetPr codeName="Sheet22"/>
  <dimension ref="A1:N65"/>
  <sheetViews>
    <sheetView workbookViewId="0" topLeftCell="A40">
      <selection activeCell="A59" sqref="A59"/>
    </sheetView>
  </sheetViews>
  <sheetFormatPr defaultColWidth="9.140625" defaultRowHeight="12.75"/>
  <cols>
    <col min="1" max="1" width="30.421875" style="1" customWidth="1"/>
    <col min="2" max="2" width="3.57421875" style="1" customWidth="1"/>
    <col min="3" max="3" width="16.7109375" style="1" customWidth="1"/>
    <col min="4" max="4" width="4.00390625" style="1" customWidth="1"/>
    <col min="5" max="5" width="16.7109375" style="1" customWidth="1"/>
    <col min="6" max="6" width="4.00390625" style="1" customWidth="1"/>
    <col min="7" max="7" width="16.7109375" style="1" customWidth="1"/>
    <col min="8" max="8" width="4.00390625" style="1" customWidth="1"/>
    <col min="9" max="9" width="16.7109375" style="1" customWidth="1"/>
    <col min="10" max="10" width="4.00390625" style="1" customWidth="1"/>
    <col min="11" max="11" width="16.7109375" style="1" customWidth="1"/>
    <col min="12" max="12" width="3.140625" style="56" customWidth="1"/>
    <col min="13" max="13" width="19.8515625" style="1" bestFit="1" customWidth="1"/>
    <col min="14" max="16384" width="9.140625" style="1" customWidth="1"/>
  </cols>
  <sheetData>
    <row r="1" spans="3:13" ht="15.75">
      <c r="C1" s="12" t="s">
        <v>302</v>
      </c>
      <c r="E1" s="12" t="s">
        <v>303</v>
      </c>
      <c r="G1" s="12" t="s">
        <v>304</v>
      </c>
      <c r="I1" s="12" t="s">
        <v>301</v>
      </c>
      <c r="K1" s="12" t="s">
        <v>302</v>
      </c>
      <c r="M1" s="12" t="s">
        <v>305</v>
      </c>
    </row>
    <row r="2" spans="3:13" ht="15.75">
      <c r="C2" s="111" t="s">
        <v>27</v>
      </c>
      <c r="D2" s="101"/>
      <c r="E2" s="111" t="s">
        <v>547</v>
      </c>
      <c r="F2" s="101"/>
      <c r="G2" s="111" t="s">
        <v>500</v>
      </c>
      <c r="H2" s="101"/>
      <c r="I2" s="111" t="s">
        <v>402</v>
      </c>
      <c r="J2" s="101"/>
      <c r="K2" s="111" t="s">
        <v>310</v>
      </c>
      <c r="L2" s="101"/>
      <c r="M2" s="111" t="s">
        <v>121</v>
      </c>
    </row>
    <row r="3" spans="1:9" ht="13.5">
      <c r="A3" s="14" t="s">
        <v>404</v>
      </c>
      <c r="B3" s="14"/>
      <c r="C3" s="18"/>
      <c r="E3" s="18"/>
      <c r="G3" s="18"/>
      <c r="I3" s="18"/>
    </row>
    <row r="4" spans="1:13" ht="13.5">
      <c r="A4" s="28" t="s">
        <v>602</v>
      </c>
      <c r="B4" s="28"/>
      <c r="C4" s="26">
        <f>'Insurance Segment Qtr'!C4</f>
        <v>685205</v>
      </c>
      <c r="E4" s="26">
        <f>G4+'Insurance Segment Qtr'!E4</f>
        <v>1677440</v>
      </c>
      <c r="G4" s="26">
        <f>I4+'Insurance Segment Qtr'!G4</f>
        <v>1391449</v>
      </c>
      <c r="I4" s="26">
        <f>'Insurance Segment Qtr'!I4+'Insurance Segment Qtr'!K4</f>
        <v>1006479</v>
      </c>
      <c r="K4" s="26">
        <f>'Insurance Segment Qtr'!K4</f>
        <v>673084</v>
      </c>
      <c r="L4" s="201"/>
      <c r="M4" s="99">
        <f>(C4-K4)/K4</f>
        <v>0.01800815351427162</v>
      </c>
    </row>
    <row r="5" spans="1:13" ht="13.5">
      <c r="A5" s="28" t="s">
        <v>495</v>
      </c>
      <c r="B5" s="28"/>
      <c r="C5" s="18">
        <f>'Insurance Segment Qtr'!C5</f>
        <v>792049</v>
      </c>
      <c r="D5" s="34"/>
      <c r="E5" s="18">
        <f>G5+'Insurance Segment Qtr'!E5</f>
        <v>2761746</v>
      </c>
      <c r="F5" s="34"/>
      <c r="G5" s="18">
        <f>I5+'Insurance Segment Qtr'!G5</f>
        <v>2061711</v>
      </c>
      <c r="H5" s="34"/>
      <c r="I5" s="18">
        <f>'Insurance Segment Qtr'!I5+'Insurance Segment Qtr'!K5</f>
        <v>1235360</v>
      </c>
      <c r="J5" s="34"/>
      <c r="K5" s="18">
        <f>'Insurance Segment Qtr'!K5</f>
        <v>677302</v>
      </c>
      <c r="L5" s="202"/>
      <c r="M5" s="99">
        <f>(C5-K5)/K5</f>
        <v>0.16941777818462075</v>
      </c>
    </row>
    <row r="6" spans="1:13" ht="13.5">
      <c r="A6" s="28" t="s">
        <v>210</v>
      </c>
      <c r="B6" s="28"/>
      <c r="C6" s="18">
        <f>'Insurance Segment Qtr'!C6</f>
        <v>0</v>
      </c>
      <c r="D6" s="34"/>
      <c r="E6" s="18">
        <f>G6+'Insurance Segment Qtr'!E6</f>
        <v>100000</v>
      </c>
      <c r="F6" s="34"/>
      <c r="G6" s="18">
        <f>I6+'Insurance Segment Qtr'!G6</f>
        <v>100000</v>
      </c>
      <c r="H6" s="34"/>
      <c r="I6" s="18">
        <f>K6+'Insurance Segment Qtr'!I6</f>
        <v>100000</v>
      </c>
      <c r="J6" s="34"/>
      <c r="K6" s="18">
        <f>'Insurance Segment Qtr'!K6</f>
        <v>100000</v>
      </c>
      <c r="L6" s="202"/>
      <c r="M6" s="99">
        <f>(C6-K6)/K6</f>
        <v>-1</v>
      </c>
    </row>
    <row r="7" spans="3:13" ht="13.5">
      <c r="C7" s="37">
        <f>SUM(C4:C6)</f>
        <v>1477254</v>
      </c>
      <c r="D7" s="30"/>
      <c r="E7" s="37">
        <f>SUM(E4:E6)</f>
        <v>4539186</v>
      </c>
      <c r="F7" s="30"/>
      <c r="G7" s="37">
        <f>SUM(G4:G6)</f>
        <v>3553160</v>
      </c>
      <c r="H7" s="30"/>
      <c r="I7" s="37">
        <f>SUM(I4:I6)</f>
        <v>2341839</v>
      </c>
      <c r="J7" s="30"/>
      <c r="K7" s="37">
        <f>SUM(K4:K6)</f>
        <v>1450386</v>
      </c>
      <c r="L7" s="17"/>
      <c r="M7" s="110">
        <f>(C7-K7)/K7</f>
        <v>0.018524723763191316</v>
      </c>
    </row>
    <row r="8" spans="3:13" ht="7.5" customHeight="1">
      <c r="C8" s="18"/>
      <c r="E8" s="18"/>
      <c r="G8" s="18"/>
      <c r="I8" s="18"/>
      <c r="K8" s="18"/>
      <c r="M8" s="28"/>
    </row>
    <row r="9" spans="1:13" ht="13.5">
      <c r="A9" s="14" t="s">
        <v>405</v>
      </c>
      <c r="B9" s="14"/>
      <c r="C9" s="18"/>
      <c r="E9" s="18"/>
      <c r="G9" s="18"/>
      <c r="I9" s="18"/>
      <c r="K9" s="18"/>
      <c r="M9" s="28"/>
    </row>
    <row r="10" spans="1:13" ht="13.5">
      <c r="A10" s="28" t="s">
        <v>601</v>
      </c>
      <c r="B10" s="28"/>
      <c r="C10" s="26">
        <f>'Insurance Segment Qtr'!C10</f>
        <v>516689</v>
      </c>
      <c r="D10" s="33"/>
      <c r="E10" s="26">
        <f>G10+'Insurance Segment Qtr'!E10</f>
        <v>1077878</v>
      </c>
      <c r="F10" s="33"/>
      <c r="G10" s="26">
        <f>I10+'Insurance Segment Qtr'!G10</f>
        <v>850294</v>
      </c>
      <c r="H10" s="33"/>
      <c r="I10" s="26">
        <f>'Insurance Segment Qtr'!I10+'Insurance Segment Qtr'!K10</f>
        <v>664335</v>
      </c>
      <c r="J10" s="33"/>
      <c r="K10" s="26">
        <f>'Insurance Segment Qtr'!K10</f>
        <v>454486</v>
      </c>
      <c r="L10" s="201"/>
      <c r="M10" s="99">
        <f>(C10-K10)/K10</f>
        <v>0.13686450187684548</v>
      </c>
    </row>
    <row r="11" spans="1:13" ht="13.5">
      <c r="A11" s="28" t="s">
        <v>493</v>
      </c>
      <c r="B11" s="28"/>
      <c r="C11" s="18">
        <f>'Insurance Segment Qtr'!C11</f>
        <v>571716</v>
      </c>
      <c r="D11" s="34"/>
      <c r="E11" s="18">
        <f>G11+'Insurance Segment Qtr'!E11</f>
        <v>2029414</v>
      </c>
      <c r="F11" s="34"/>
      <c r="G11" s="18">
        <f>I11+'Insurance Segment Qtr'!G11</f>
        <v>1483725</v>
      </c>
      <c r="H11" s="34"/>
      <c r="I11" s="18">
        <f>'Insurance Segment Qtr'!I11+'Insurance Segment Qtr'!K11</f>
        <v>873718</v>
      </c>
      <c r="J11" s="34"/>
      <c r="K11" s="18">
        <f>'Insurance Segment Qtr'!K11</f>
        <v>497381</v>
      </c>
      <c r="L11" s="202"/>
      <c r="M11" s="99">
        <f>(C11-K11)/K11</f>
        <v>0.14945283394419973</v>
      </c>
    </row>
    <row r="12" spans="1:13" ht="13.5">
      <c r="A12" s="28" t="s">
        <v>210</v>
      </c>
      <c r="B12" s="28"/>
      <c r="C12" s="18">
        <f>'Insurance Segment Qtr'!C12</f>
        <v>0</v>
      </c>
      <c r="D12" s="34"/>
      <c r="E12" s="18">
        <f>G12+'Insurance Segment Qtr'!E12</f>
        <v>100000</v>
      </c>
      <c r="F12" s="34"/>
      <c r="G12" s="18">
        <f>I12+'Insurance Segment Qtr'!G12</f>
        <v>100000</v>
      </c>
      <c r="H12" s="34"/>
      <c r="I12" s="18">
        <f>K12+'Insurance Segment Qtr'!I12</f>
        <v>100000</v>
      </c>
      <c r="J12" s="34"/>
      <c r="K12" s="18">
        <f>'Insurance Segment Qtr'!K12</f>
        <v>100000</v>
      </c>
      <c r="L12" s="202"/>
      <c r="M12" s="99">
        <f>(C12-K12)/K12</f>
        <v>-1</v>
      </c>
    </row>
    <row r="13" spans="3:13" ht="13.5">
      <c r="C13" s="37">
        <f>SUM(C10:C12)</f>
        <v>1088405</v>
      </c>
      <c r="D13" s="30"/>
      <c r="E13" s="37">
        <f>SUM(E10:E12)</f>
        <v>3207292</v>
      </c>
      <c r="F13" s="30"/>
      <c r="G13" s="37">
        <f>SUM(G10:G12)</f>
        <v>2434019</v>
      </c>
      <c r="H13" s="30"/>
      <c r="I13" s="37">
        <f>SUM(I10:I12)</f>
        <v>1638053</v>
      </c>
      <c r="J13" s="30"/>
      <c r="K13" s="37">
        <f>SUM(K10:K12)</f>
        <v>1051867</v>
      </c>
      <c r="L13" s="17"/>
      <c r="M13" s="110">
        <f>(C13-K13)/K13</f>
        <v>0.034736330733828515</v>
      </c>
    </row>
    <row r="14" spans="3:13" ht="7.5" customHeight="1">
      <c r="C14" s="18"/>
      <c r="E14" s="18"/>
      <c r="G14" s="18"/>
      <c r="I14" s="18"/>
      <c r="K14" s="18"/>
      <c r="M14" s="28"/>
    </row>
    <row r="15" spans="1:13" ht="13.5">
      <c r="A15" s="14" t="s">
        <v>406</v>
      </c>
      <c r="B15" s="14"/>
      <c r="C15" s="18"/>
      <c r="E15" s="18"/>
      <c r="G15" s="18"/>
      <c r="I15" s="18"/>
      <c r="K15" s="18"/>
      <c r="M15" s="28"/>
    </row>
    <row r="16" spans="1:13" ht="13.5">
      <c r="A16" s="28" t="s">
        <v>601</v>
      </c>
      <c r="B16" s="28"/>
      <c r="C16" s="26">
        <f>'Insurance Segment Qtr'!C16</f>
        <v>316969</v>
      </c>
      <c r="D16" s="33"/>
      <c r="E16" s="26">
        <f>G16+'Insurance Segment Qtr'!E16</f>
        <v>1100278</v>
      </c>
      <c r="F16" s="33"/>
      <c r="G16" s="26">
        <f>I16+'Insurance Segment Qtr'!G16</f>
        <v>795541</v>
      </c>
      <c r="H16" s="33"/>
      <c r="I16" s="26">
        <f>'Insurance Segment Qtr'!I16+'Insurance Segment Qtr'!K16</f>
        <v>481972</v>
      </c>
      <c r="J16" s="33"/>
      <c r="K16" s="26">
        <f>'Insurance Segment Qtr'!K16</f>
        <v>236215</v>
      </c>
      <c r="L16" s="201"/>
      <c r="M16" s="99">
        <f>(C16-K16)/K16</f>
        <v>0.3418665199077112</v>
      </c>
    </row>
    <row r="17" spans="1:13" ht="13.5">
      <c r="A17" s="28" t="s">
        <v>493</v>
      </c>
      <c r="B17" s="28"/>
      <c r="C17" s="18">
        <f>'Insurance Segment Qtr'!C17</f>
        <v>564258</v>
      </c>
      <c r="D17" s="34"/>
      <c r="E17" s="18">
        <f>G17+'Insurance Segment Qtr'!E17-1</f>
        <v>1732020</v>
      </c>
      <c r="F17" s="34"/>
      <c r="G17" s="18">
        <f>I17+'Insurance Segment Qtr'!G17+1</f>
        <v>1173304</v>
      </c>
      <c r="H17" s="34"/>
      <c r="I17" s="18">
        <f>'Insurance Segment Qtr'!I17+'Insurance Segment Qtr'!K17</f>
        <v>648760</v>
      </c>
      <c r="J17" s="34"/>
      <c r="K17" s="18">
        <f>'Insurance Segment Qtr'!K17</f>
        <v>353586</v>
      </c>
      <c r="L17" s="202"/>
      <c r="M17" s="99">
        <f>(C17-K17)/K17</f>
        <v>0.5958154451816531</v>
      </c>
    </row>
    <row r="18" spans="3:13" ht="13.5">
      <c r="C18" s="37">
        <f>SUM(C16:C17)</f>
        <v>881227</v>
      </c>
      <c r="D18" s="30"/>
      <c r="E18" s="37">
        <f>SUM(E16:E17)</f>
        <v>2832298</v>
      </c>
      <c r="F18" s="30"/>
      <c r="G18" s="37">
        <f>SUM(G16:G17)</f>
        <v>1968845</v>
      </c>
      <c r="H18" s="30"/>
      <c r="I18" s="37">
        <f>'Insurance Segment Qtr'!I18+'Insurance Segment Qtr'!K18</f>
        <v>1130732</v>
      </c>
      <c r="J18" s="30"/>
      <c r="K18" s="37">
        <f>'Insurance Segment Qtr'!K18</f>
        <v>589801</v>
      </c>
      <c r="L18" s="17"/>
      <c r="M18" s="110">
        <f>(C18-K18)/K18</f>
        <v>0.49410902999486267</v>
      </c>
    </row>
    <row r="19" spans="3:13" ht="5.25" customHeight="1">
      <c r="C19" s="18">
        <f>'Insurance Segment Qtr'!C19+'Insurance Segment Qtr'!E19</f>
        <v>0</v>
      </c>
      <c r="E19" s="18">
        <f>'Insurance Segment Qtr'!E19+'Insurance Segment Qtr'!G19</f>
        <v>0</v>
      </c>
      <c r="G19" s="18">
        <f>'Insurance Segment Qtr'!G19+'Insurance Segment Qtr'!I19</f>
        <v>0</v>
      </c>
      <c r="I19" s="18">
        <f>'Insurance Segment Qtr'!I19+'Insurance Segment Qtr'!K19</f>
        <v>0</v>
      </c>
      <c r="K19" s="18">
        <f>'Insurance Segment Qtr'!K19</f>
        <v>0</v>
      </c>
      <c r="M19" s="102"/>
    </row>
    <row r="20" spans="1:13" ht="13.5">
      <c r="A20" s="14" t="s">
        <v>395</v>
      </c>
      <c r="B20" s="14"/>
      <c r="C20" s="18"/>
      <c r="E20" s="18"/>
      <c r="G20" s="18"/>
      <c r="I20" s="18"/>
      <c r="K20" s="18"/>
      <c r="M20" s="103"/>
    </row>
    <row r="21" spans="1:13" ht="13.5">
      <c r="A21" s="28" t="s">
        <v>601</v>
      </c>
      <c r="B21" s="28"/>
      <c r="C21" s="26">
        <f>'Insurance Segment Qtr'!C21</f>
        <v>543</v>
      </c>
      <c r="D21" s="33"/>
      <c r="E21" s="26">
        <f>G21+'Insurance Segment Qtr'!E21</f>
        <v>10711</v>
      </c>
      <c r="F21" s="33"/>
      <c r="G21" s="26">
        <f>I21+'Insurance Segment Qtr'!G21</f>
        <v>15404</v>
      </c>
      <c r="H21" s="33"/>
      <c r="I21" s="26">
        <f>'Insurance Segment Qtr'!I21+'Insurance Segment Qtr'!K21</f>
        <v>10932</v>
      </c>
      <c r="J21" s="33"/>
      <c r="K21" s="26">
        <f>'Insurance Segment Qtr'!K21</f>
        <v>3669</v>
      </c>
      <c r="L21" s="201"/>
      <c r="M21" s="99">
        <f>(C21-K21)/K21</f>
        <v>-0.8520032706459526</v>
      </c>
    </row>
    <row r="22" spans="1:13" ht="13.5">
      <c r="A22" s="28" t="s">
        <v>493</v>
      </c>
      <c r="B22" s="28"/>
      <c r="C22" s="18">
        <f>'Insurance Segment Qtr'!C22</f>
        <v>1605</v>
      </c>
      <c r="D22" s="34"/>
      <c r="E22" s="18">
        <f>G22+'Insurance Segment Qtr'!E22</f>
        <v>26006</v>
      </c>
      <c r="F22" s="34"/>
      <c r="G22" s="18">
        <f>I22+'Insurance Segment Qtr'!G22</f>
        <v>7755</v>
      </c>
      <c r="H22" s="34"/>
      <c r="I22" s="18">
        <f>'Insurance Segment Qtr'!I22+'Insurance Segment Qtr'!K22</f>
        <v>6499</v>
      </c>
      <c r="J22" s="34"/>
      <c r="K22" s="18">
        <f>'Insurance Segment Qtr'!K22</f>
        <v>2876</v>
      </c>
      <c r="L22" s="202"/>
      <c r="M22" s="99">
        <f>(C22-K22)/K22</f>
        <v>-0.44193324061196104</v>
      </c>
    </row>
    <row r="23" spans="3:13" ht="13.5">
      <c r="C23" s="37">
        <f>SUM(C21:C22)</f>
        <v>2148</v>
      </c>
      <c r="D23" s="30"/>
      <c r="E23" s="37">
        <f>SUM(E21:E22)</f>
        <v>36717</v>
      </c>
      <c r="F23" s="30"/>
      <c r="G23" s="37">
        <f>SUM(G21:G22)</f>
        <v>23159</v>
      </c>
      <c r="H23" s="30"/>
      <c r="I23" s="37">
        <f>'Insurance Segment Qtr'!I23+'Insurance Segment Qtr'!K23</f>
        <v>17431</v>
      </c>
      <c r="J23" s="30"/>
      <c r="K23" s="37">
        <f>'Insurance Segment Qtr'!K23</f>
        <v>6545</v>
      </c>
      <c r="L23" s="17"/>
      <c r="M23" s="110">
        <f>(C23-K23)/K23</f>
        <v>-0.6718105423987777</v>
      </c>
    </row>
    <row r="24" spans="3:13" ht="6" customHeight="1">
      <c r="C24" s="18">
        <f>'Insurance Segment Qtr'!C24+'Insurance Segment Qtr'!E24</f>
        <v>0</v>
      </c>
      <c r="E24" s="18">
        <f>'Insurance Segment Qtr'!E24+'Insurance Segment Qtr'!G24</f>
        <v>0</v>
      </c>
      <c r="G24" s="18">
        <f>'Insurance Segment Qtr'!G24+'Insurance Segment Qtr'!I24</f>
        <v>0</v>
      </c>
      <c r="I24" s="18">
        <f>'Insurance Segment Qtr'!I24+'Insurance Segment Qtr'!K24</f>
        <v>0</v>
      </c>
      <c r="K24" s="18">
        <f>'Insurance Segment Qtr'!K24</f>
        <v>0</v>
      </c>
      <c r="M24" s="28"/>
    </row>
    <row r="25" spans="1:13" ht="13.5">
      <c r="A25" s="14" t="s">
        <v>336</v>
      </c>
      <c r="B25" s="14"/>
      <c r="C25" s="18"/>
      <c r="E25" s="18"/>
      <c r="G25" s="18"/>
      <c r="I25" s="18"/>
      <c r="K25" s="18"/>
      <c r="M25" s="28"/>
    </row>
    <row r="26" spans="1:13" ht="13.5">
      <c r="A26" s="28" t="s">
        <v>601</v>
      </c>
      <c r="B26" s="28"/>
      <c r="C26" s="26">
        <f>'Insurance Segment Qtr'!C26</f>
        <v>174391</v>
      </c>
      <c r="D26" s="33"/>
      <c r="E26" s="26">
        <f>G26+'Insurance Segment Qtr'!E26</f>
        <v>541970</v>
      </c>
      <c r="F26" s="33"/>
      <c r="G26" s="26">
        <f>I26+'Insurance Segment Qtr'!G26</f>
        <v>487126</v>
      </c>
      <c r="H26" s="33"/>
      <c r="I26" s="26">
        <f>'Insurance Segment Qtr'!I26+'Insurance Segment Qtr'!K26</f>
        <v>291320</v>
      </c>
      <c r="J26" s="33"/>
      <c r="K26" s="26">
        <f>'Insurance Segment Qtr'!K26</f>
        <v>154336</v>
      </c>
      <c r="L26" s="201"/>
      <c r="M26" s="99">
        <f>(C26-K26)/K26</f>
        <v>0.12994375907111755</v>
      </c>
    </row>
    <row r="27" spans="1:13" ht="13.5">
      <c r="A27" s="28" t="s">
        <v>493</v>
      </c>
      <c r="B27" s="28"/>
      <c r="C27" s="18">
        <f>'Insurance Segment Qtr'!C27</f>
        <v>346894</v>
      </c>
      <c r="D27" s="34"/>
      <c r="E27" s="18">
        <f>G27+'Insurance Segment Qtr'!E27-1</f>
        <v>1157012</v>
      </c>
      <c r="F27" s="34"/>
      <c r="G27" s="18">
        <f>I27+'Insurance Segment Qtr'!G27+1</f>
        <v>720605</v>
      </c>
      <c r="H27" s="34"/>
      <c r="I27" s="18">
        <f>'Insurance Segment Qtr'!I27+'Insurance Segment Qtr'!K27</f>
        <v>404856</v>
      </c>
      <c r="J27" s="34"/>
      <c r="K27" s="18">
        <f>'Insurance Segment Qtr'!K27</f>
        <v>220250</v>
      </c>
      <c r="L27" s="202"/>
      <c r="M27" s="99">
        <f>(C27-K27)/K27</f>
        <v>0.5750011350737798</v>
      </c>
    </row>
    <row r="28" spans="1:13" ht="13.5">
      <c r="A28" s="28" t="s">
        <v>421</v>
      </c>
      <c r="B28" s="28"/>
      <c r="C28" s="18">
        <f>'Insurance Segment Qtr'!C28</f>
        <v>0</v>
      </c>
      <c r="D28" s="34"/>
      <c r="E28" s="18">
        <f>G28+'Insurance Segment Qtr'!E28</f>
        <v>73000</v>
      </c>
      <c r="F28" s="34"/>
      <c r="G28" s="18">
        <f>I28+'Insurance Segment Qtr'!G28</f>
        <v>73000</v>
      </c>
      <c r="H28" s="34"/>
      <c r="I28" s="18">
        <f>'Insurance Segment Qtr'!I28+'Insurance Segment Qtr'!K28</f>
        <v>73000</v>
      </c>
      <c r="J28" s="34"/>
      <c r="K28" s="18">
        <f>'Insurance Segment Qtr'!K28</f>
        <v>0</v>
      </c>
      <c r="L28" s="202"/>
      <c r="M28" s="99" t="s">
        <v>80</v>
      </c>
    </row>
    <row r="29" spans="3:13" ht="13.5">
      <c r="C29" s="37">
        <f>SUM(C26:C28)</f>
        <v>521285</v>
      </c>
      <c r="D29" s="30"/>
      <c r="E29" s="37">
        <f>SUM(E26:E28)</f>
        <v>1771982</v>
      </c>
      <c r="F29" s="30"/>
      <c r="G29" s="37">
        <f>SUM(G26:G28)</f>
        <v>1280731</v>
      </c>
      <c r="H29" s="30"/>
      <c r="I29" s="37">
        <f>'Insurance Segment Qtr'!I29+'Insurance Segment Qtr'!K29</f>
        <v>769176</v>
      </c>
      <c r="J29" s="30"/>
      <c r="K29" s="37">
        <f>'Insurance Segment Qtr'!K29</f>
        <v>374586</v>
      </c>
      <c r="L29" s="17"/>
      <c r="M29" s="110">
        <f>(C29-K29)/K29</f>
        <v>0.39162969251386864</v>
      </c>
    </row>
    <row r="30" ht="6.75" customHeight="1">
      <c r="M30" s="28"/>
    </row>
    <row r="31" spans="1:13" ht="13.5">
      <c r="A31" s="14" t="s">
        <v>397</v>
      </c>
      <c r="B31" s="14"/>
      <c r="C31" s="18"/>
      <c r="E31" s="18"/>
      <c r="G31" s="18"/>
      <c r="I31" s="18"/>
      <c r="K31" s="18"/>
      <c r="M31" s="28"/>
    </row>
    <row r="32" spans="1:13" ht="13.5">
      <c r="A32" s="28" t="s">
        <v>601</v>
      </c>
      <c r="B32" s="28"/>
      <c r="C32" s="26">
        <f>'Insurance Segment Qtr'!C32</f>
        <v>25300</v>
      </c>
      <c r="D32" s="33"/>
      <c r="E32" s="26">
        <f>G32+'Insurance Segment Qtr'!E32</f>
        <v>97758</v>
      </c>
      <c r="F32" s="33"/>
      <c r="G32" s="26">
        <f>I32+'Insurance Segment Qtr'!G32</f>
        <v>56153</v>
      </c>
      <c r="H32" s="33"/>
      <c r="I32" s="26">
        <f>'Insurance Segment Qtr'!I32+'Insurance Segment Qtr'!K32</f>
        <v>23579</v>
      </c>
      <c r="J32" s="33"/>
      <c r="K32" s="26">
        <f>'Insurance Segment Qtr'!K32</f>
        <v>6361</v>
      </c>
      <c r="L32" s="201"/>
      <c r="M32" s="99">
        <f>(C32-K32)/K32</f>
        <v>2.9773620499921396</v>
      </c>
    </row>
    <row r="33" spans="1:13" ht="13.5">
      <c r="A33" s="28" t="s">
        <v>493</v>
      </c>
      <c r="B33" s="28"/>
      <c r="C33" s="18">
        <f>'Insurance Segment Qtr'!C33</f>
        <v>99150</v>
      </c>
      <c r="D33" s="34"/>
      <c r="E33" s="18">
        <f>G33+'Insurance Segment Qtr'!E33</f>
        <v>380790</v>
      </c>
      <c r="F33" s="34"/>
      <c r="G33" s="18">
        <f>I33+'Insurance Segment Qtr'!G33</f>
        <v>258188</v>
      </c>
      <c r="H33" s="34"/>
      <c r="I33" s="18">
        <f>'Insurance Segment Qtr'!I33+'Insurance Segment Qtr'!K33</f>
        <v>136030</v>
      </c>
      <c r="J33" s="34"/>
      <c r="K33" s="18">
        <f>'Insurance Segment Qtr'!K33</f>
        <v>85604</v>
      </c>
      <c r="L33" s="202"/>
      <c r="M33" s="99">
        <f>(C33-K33)/K33</f>
        <v>0.15824026914630157</v>
      </c>
    </row>
    <row r="34" spans="3:13" ht="13.5">
      <c r="C34" s="37">
        <f>SUM(C32:C33)</f>
        <v>124450</v>
      </c>
      <c r="D34" s="30"/>
      <c r="E34" s="37">
        <f>SUM(E32:E33)</f>
        <v>478548</v>
      </c>
      <c r="F34" s="30"/>
      <c r="G34" s="37">
        <f>SUM(G32:G33)</f>
        <v>314341</v>
      </c>
      <c r="H34" s="30"/>
      <c r="I34" s="37">
        <f>'Insurance Segment Qtr'!I34+'Insurance Segment Qtr'!K34</f>
        <v>159609</v>
      </c>
      <c r="J34" s="30"/>
      <c r="K34" s="37">
        <f>'Insurance Segment Qtr'!K34</f>
        <v>91965</v>
      </c>
      <c r="L34" s="17"/>
      <c r="M34" s="110">
        <f>(C34-K34)/K34</f>
        <v>0.35323220790518134</v>
      </c>
    </row>
    <row r="35" ht="7.5" customHeight="1">
      <c r="M35" s="28"/>
    </row>
    <row r="36" spans="1:13" ht="13.5">
      <c r="A36" s="14" t="s">
        <v>398</v>
      </c>
      <c r="B36" s="14"/>
      <c r="C36" s="18"/>
      <c r="E36" s="18"/>
      <c r="G36" s="18"/>
      <c r="I36" s="18"/>
      <c r="K36" s="18"/>
      <c r="M36" s="28"/>
    </row>
    <row r="37" spans="1:13" ht="13.5">
      <c r="A37" s="28" t="s">
        <v>601</v>
      </c>
      <c r="B37" s="28"/>
      <c r="C37" s="26">
        <f>'Insurance Segment Qtr'!C37</f>
        <v>55020</v>
      </c>
      <c r="D37" s="33"/>
      <c r="E37" s="26">
        <f>G37+'Insurance Segment Qtr'!E37</f>
        <v>221190</v>
      </c>
      <c r="F37" s="33"/>
      <c r="G37" s="26">
        <f>I37+'Insurance Segment Qtr'!G37</f>
        <v>174836</v>
      </c>
      <c r="H37" s="33"/>
      <c r="I37" s="26">
        <f>'Insurance Segment Qtr'!I37+'Insurance Segment Qtr'!K37</f>
        <v>113585</v>
      </c>
      <c r="J37" s="33"/>
      <c r="K37" s="26">
        <f>'Insurance Segment Qtr'!K37</f>
        <v>50847</v>
      </c>
      <c r="L37" s="201"/>
      <c r="M37" s="99">
        <f>(C37-K37)/K37</f>
        <v>0.08206973862764765</v>
      </c>
    </row>
    <row r="38" spans="1:13" ht="13.5">
      <c r="A38" s="28" t="s">
        <v>493</v>
      </c>
      <c r="B38" s="28"/>
      <c r="C38" s="18">
        <f>'Insurance Segment Qtr'!C38</f>
        <v>43076</v>
      </c>
      <c r="D38" s="34"/>
      <c r="E38" s="18">
        <f>G38+'Insurance Segment Qtr'!E38</f>
        <v>159711</v>
      </c>
      <c r="F38" s="34"/>
      <c r="G38" s="18">
        <f>I38+'Insurance Segment Qtr'!G38</f>
        <v>120656</v>
      </c>
      <c r="H38" s="34"/>
      <c r="I38" s="18">
        <f>'Insurance Segment Qtr'!I38+'Insurance Segment Qtr'!K38</f>
        <v>86629</v>
      </c>
      <c r="J38" s="34"/>
      <c r="K38" s="18">
        <f>'Insurance Segment Qtr'!K38</f>
        <v>38126</v>
      </c>
      <c r="L38" s="202"/>
      <c r="M38" s="99">
        <f>(C38-K38)/K38</f>
        <v>0.1298326601269475</v>
      </c>
    </row>
    <row r="39" spans="3:13" ht="13.5">
      <c r="C39" s="37">
        <f>SUM(C37:C38)</f>
        <v>98096</v>
      </c>
      <c r="D39" s="30"/>
      <c r="E39" s="37">
        <f>SUM(E37:E38)</f>
        <v>380901</v>
      </c>
      <c r="F39" s="30"/>
      <c r="G39" s="37">
        <f>SUM(G37:G38)</f>
        <v>295492</v>
      </c>
      <c r="H39" s="30"/>
      <c r="I39" s="37">
        <f>'Insurance Segment Qtr'!I39+'Insurance Segment Qtr'!K39</f>
        <v>200214</v>
      </c>
      <c r="J39" s="30"/>
      <c r="K39" s="37">
        <f>'Insurance Segment Qtr'!K39</f>
        <v>88973</v>
      </c>
      <c r="L39" s="17"/>
      <c r="M39" s="110">
        <f>(C39-K39)/K39</f>
        <v>0.10253672462432423</v>
      </c>
    </row>
    <row r="40" ht="6.75" customHeight="1">
      <c r="M40" s="28"/>
    </row>
    <row r="41" spans="1:11" ht="13.5">
      <c r="A41" s="14" t="s">
        <v>569</v>
      </c>
      <c r="B41" s="14"/>
      <c r="C41" s="18"/>
      <c r="E41" s="18"/>
      <c r="G41" s="18"/>
      <c r="I41" s="18"/>
      <c r="K41" s="18"/>
    </row>
    <row r="42" spans="1:14" ht="13.5">
      <c r="A42" s="28" t="s">
        <v>601</v>
      </c>
      <c r="B42" s="28"/>
      <c r="C42" s="26">
        <f>'Insurance Segment Qtr'!C42</f>
        <v>-263</v>
      </c>
      <c r="D42" s="33"/>
      <c r="E42" s="26">
        <f>G42+'Insurance Segment Qtr'!E42</f>
        <v>-26011</v>
      </c>
      <c r="F42" s="33"/>
      <c r="G42" s="26">
        <f>I42+'Insurance Segment Qtr'!G42</f>
        <v>-9066</v>
      </c>
      <c r="H42" s="33"/>
      <c r="I42" s="26">
        <f>'Insurance Segment Qtr'!I42+'Insurance Segment Qtr'!K42</f>
        <v>-9534</v>
      </c>
      <c r="J42" s="33"/>
      <c r="K42" s="26">
        <f>'Insurance Segment Qtr'!K42</f>
        <v>-1808</v>
      </c>
      <c r="L42" s="201"/>
      <c r="M42" s="89"/>
      <c r="N42" s="56"/>
    </row>
    <row r="43" spans="1:14" ht="13.5">
      <c r="A43" s="28" t="s">
        <v>493</v>
      </c>
      <c r="B43" s="28"/>
      <c r="C43" s="18">
        <f>'Insurance Segment Qtr'!C43</f>
        <v>7980</v>
      </c>
      <c r="D43" s="34"/>
      <c r="E43" s="18">
        <f>G43+'Insurance Segment Qtr'!E43</f>
        <v>-30504</v>
      </c>
      <c r="F43" s="34"/>
      <c r="G43" s="18">
        <f>I43+'Insurance Segment Qtr'!G43</f>
        <v>-21995</v>
      </c>
      <c r="H43" s="34"/>
      <c r="I43" s="18">
        <f>'Insurance Segment Qtr'!I43+'Insurance Segment Qtr'!K43</f>
        <v>-14759</v>
      </c>
      <c r="J43" s="34"/>
      <c r="K43" s="18">
        <f>'Insurance Segment Qtr'!K43</f>
        <v>-304</v>
      </c>
      <c r="L43" s="202"/>
      <c r="M43" s="90"/>
      <c r="N43" s="56"/>
    </row>
    <row r="44" spans="3:14" ht="13.5">
      <c r="C44" s="37">
        <f>SUM(C42:C43)</f>
        <v>7717</v>
      </c>
      <c r="D44" s="30"/>
      <c r="E44" s="37">
        <f>SUM(E42:E43)</f>
        <v>-56515</v>
      </c>
      <c r="F44" s="30"/>
      <c r="G44" s="37">
        <f>SUM(G42:G43)</f>
        <v>-31061</v>
      </c>
      <c r="H44" s="30"/>
      <c r="I44" s="37">
        <f>'Insurance Segment Qtr'!I44+'Insurance Segment Qtr'!K44</f>
        <v>-24293</v>
      </c>
      <c r="J44" s="30"/>
      <c r="K44" s="37">
        <f>'Insurance Segment Qtr'!K44</f>
        <v>-2112</v>
      </c>
      <c r="L44" s="17"/>
      <c r="M44" s="91"/>
      <c r="N44" s="56"/>
    </row>
    <row r="45" spans="13:14" ht="15" customHeight="1">
      <c r="M45" s="56"/>
      <c r="N45" s="56"/>
    </row>
    <row r="46" spans="3:14" ht="13.5">
      <c r="C46" s="18"/>
      <c r="E46" s="18"/>
      <c r="G46" s="18"/>
      <c r="I46" s="18"/>
      <c r="K46" s="18"/>
      <c r="M46" s="56"/>
      <c r="N46" s="56"/>
    </row>
    <row r="47" spans="1:14" ht="13.5">
      <c r="A47" s="14" t="s">
        <v>107</v>
      </c>
      <c r="B47" s="14"/>
      <c r="C47" s="63">
        <f>C18+C23-C29-C34-C39-C44</f>
        <v>131827</v>
      </c>
      <c r="D47" s="30"/>
      <c r="E47" s="63">
        <f>E18+E23-E29-E34-E39-E44</f>
        <v>294099</v>
      </c>
      <c r="F47" s="30"/>
      <c r="G47" s="63">
        <f>G18+G23-G29-G34-G39-G44</f>
        <v>132501</v>
      </c>
      <c r="H47" s="30"/>
      <c r="I47" s="37">
        <f>'Insurance Segment Qtr'!I47+'Insurance Segment Qtr'!K47</f>
        <v>43457</v>
      </c>
      <c r="J47" s="30"/>
      <c r="K47" s="37">
        <f>'Insurance Segment Qtr'!K47</f>
        <v>42934</v>
      </c>
      <c r="L47" s="17"/>
      <c r="M47" s="92"/>
      <c r="N47" s="56"/>
    </row>
    <row r="48" spans="1:14" ht="13.5">
      <c r="A48" s="14"/>
      <c r="B48" s="14"/>
      <c r="C48" s="84"/>
      <c r="D48" s="17"/>
      <c r="E48" s="84"/>
      <c r="F48" s="17"/>
      <c r="G48" s="84"/>
      <c r="H48" s="17"/>
      <c r="I48" s="84"/>
      <c r="J48" s="17"/>
      <c r="K48" s="84"/>
      <c r="L48" s="17"/>
      <c r="M48" s="92"/>
      <c r="N48" s="56"/>
    </row>
    <row r="49" spans="11:14" ht="6.75" customHeight="1">
      <c r="K49" s="33"/>
      <c r="M49" s="56"/>
      <c r="N49" s="56"/>
    </row>
    <row r="50" spans="1:14" ht="13.5" customHeight="1">
      <c r="A50" s="38" t="s">
        <v>207</v>
      </c>
      <c r="B50" s="60"/>
      <c r="K50" s="33"/>
      <c r="M50" s="56"/>
      <c r="N50" s="56"/>
    </row>
    <row r="51" spans="1:14" ht="13.5">
      <c r="A51" s="1" t="s">
        <v>343</v>
      </c>
      <c r="C51" s="32">
        <f>(C29-C28)/C18</f>
        <v>0.5915445169065405</v>
      </c>
      <c r="D51" s="32"/>
      <c r="E51" s="32">
        <f>(E29-E28)/E18</f>
        <v>0.5998599017476268</v>
      </c>
      <c r="F51" s="32"/>
      <c r="G51" s="32">
        <f>(G29-G28)/G18</f>
        <v>0.6134210666659895</v>
      </c>
      <c r="H51" s="32"/>
      <c r="I51" s="32">
        <f>(I29-I28)/I18</f>
        <v>0.6156861219104085</v>
      </c>
      <c r="J51" s="32"/>
      <c r="K51" s="32">
        <f>(K29-K28)/K18</f>
        <v>0.635105739054359</v>
      </c>
      <c r="L51" s="40"/>
      <c r="M51" s="56"/>
      <c r="N51" s="56"/>
    </row>
    <row r="52" spans="1:13" ht="13.5">
      <c r="A52" s="1" t="s">
        <v>344</v>
      </c>
      <c r="C52" s="32">
        <f>C34/C18</f>
        <v>0.141223543990368</v>
      </c>
      <c r="D52" s="32"/>
      <c r="E52" s="32">
        <f>E34/E18</f>
        <v>0.16896103446741834</v>
      </c>
      <c r="F52" s="32"/>
      <c r="G52" s="32">
        <f>G34/G18</f>
        <v>0.1596575657301616</v>
      </c>
      <c r="H52" s="32"/>
      <c r="I52" s="32">
        <f>I34/I18</f>
        <v>0.14115546389418537</v>
      </c>
      <c r="J52" s="32"/>
      <c r="K52" s="32">
        <f>K34/K18</f>
        <v>0.15592547316806854</v>
      </c>
      <c r="L52" s="40"/>
      <c r="M52" s="40"/>
    </row>
    <row r="53" spans="1:13" ht="13.5">
      <c r="A53" s="1" t="s">
        <v>345</v>
      </c>
      <c r="C53" s="32">
        <f>C39/C18</f>
        <v>0.11131751523727712</v>
      </c>
      <c r="D53" s="32"/>
      <c r="E53" s="32">
        <f>E39/E18</f>
        <v>0.1344847893830381</v>
      </c>
      <c r="F53" s="32"/>
      <c r="G53" s="32">
        <f>G39/G18</f>
        <v>0.15008393245786236</v>
      </c>
      <c r="H53" s="32"/>
      <c r="I53" s="32">
        <f>I39/I18</f>
        <v>0.17706582992256345</v>
      </c>
      <c r="J53" s="32"/>
      <c r="K53" s="32">
        <f>K39/K18</f>
        <v>0.15085257569926128</v>
      </c>
      <c r="M53" s="40"/>
    </row>
    <row r="54" spans="1:13" ht="14.25" thickBot="1">
      <c r="A54" s="1" t="s">
        <v>346</v>
      </c>
      <c r="C54" s="79">
        <f>SUM(C51:C53)</f>
        <v>0.8440855761341857</v>
      </c>
      <c r="D54" s="32"/>
      <c r="E54" s="79">
        <f>SUM(E51:E53)</f>
        <v>0.9033057255980832</v>
      </c>
      <c r="F54" s="32"/>
      <c r="G54" s="79">
        <f>SUM(G51:G53)</f>
        <v>0.9231625648540135</v>
      </c>
      <c r="H54" s="32"/>
      <c r="I54" s="79">
        <f>SUM(I51:I53)</f>
        <v>0.9339074157271573</v>
      </c>
      <c r="J54" s="32"/>
      <c r="K54" s="79">
        <f>SUM(K51:K53)</f>
        <v>0.9418837879216887</v>
      </c>
      <c r="M54" s="40"/>
    </row>
    <row r="55" ht="14.25" thickTop="1">
      <c r="M55" s="88"/>
    </row>
    <row r="56" spans="1:13" ht="15.75" customHeight="1">
      <c r="A56" s="38" t="s">
        <v>497</v>
      </c>
      <c r="B56" s="60"/>
      <c r="C56" s="64"/>
      <c r="D56" s="32"/>
      <c r="E56" s="64"/>
      <c r="F56" s="32"/>
      <c r="G56" s="64"/>
      <c r="H56" s="32"/>
      <c r="I56" s="64"/>
      <c r="J56" s="32"/>
      <c r="K56" s="64"/>
      <c r="M56" s="88"/>
    </row>
    <row r="57" spans="1:13" ht="13.5">
      <c r="A57" s="1" t="s">
        <v>343</v>
      </c>
      <c r="C57" s="99" t="s">
        <v>420</v>
      </c>
      <c r="D57" s="32"/>
      <c r="E57" s="32">
        <f>E29/E18-0.001</f>
        <v>0.6246340257981329</v>
      </c>
      <c r="F57" s="32"/>
      <c r="G57" s="32">
        <f>G29/G18-0.001</f>
        <v>0.6494986426051822</v>
      </c>
      <c r="H57" s="32"/>
      <c r="I57" s="32">
        <f>I29/I18</f>
        <v>0.6802460706869532</v>
      </c>
      <c r="J57" s="32"/>
      <c r="K57" s="99" t="s">
        <v>420</v>
      </c>
      <c r="L57" s="40"/>
      <c r="M57" s="40"/>
    </row>
    <row r="58" spans="1:13" ht="13.5">
      <c r="A58" s="1" t="s">
        <v>346</v>
      </c>
      <c r="C58" s="99" t="s">
        <v>420</v>
      </c>
      <c r="D58" s="32"/>
      <c r="E58" s="32">
        <f>E57+E52+E53+0.001</f>
        <v>0.9290798496485894</v>
      </c>
      <c r="F58" s="32"/>
      <c r="G58" s="32">
        <f>G57+G52+G53+0.001</f>
        <v>0.9602401407932062</v>
      </c>
      <c r="H58" s="32"/>
      <c r="I58" s="32">
        <f>I57+I52+I53</f>
        <v>0.998467364503702</v>
      </c>
      <c r="J58" s="32"/>
      <c r="K58" s="99" t="s">
        <v>420</v>
      </c>
      <c r="L58" s="40"/>
      <c r="M58" s="40"/>
    </row>
    <row r="59" spans="3:12" ht="13.5">
      <c r="C59" s="32"/>
      <c r="D59" s="32"/>
      <c r="E59" s="32"/>
      <c r="F59" s="32"/>
      <c r="G59" s="32"/>
      <c r="H59" s="32"/>
      <c r="I59" s="32"/>
      <c r="J59" s="32"/>
      <c r="K59" s="32"/>
      <c r="L59" s="40"/>
    </row>
    <row r="60" spans="1:12" ht="13.5">
      <c r="A60" s="14" t="s">
        <v>315</v>
      </c>
      <c r="C60" s="32"/>
      <c r="D60" s="32"/>
      <c r="E60" s="32"/>
      <c r="F60" s="32"/>
      <c r="G60" s="32"/>
      <c r="H60" s="32"/>
      <c r="I60" s="32"/>
      <c r="J60" s="32"/>
      <c r="K60" s="32"/>
      <c r="L60" s="40"/>
    </row>
    <row r="61" ht="13.5">
      <c r="A61" s="1" t="s">
        <v>131</v>
      </c>
    </row>
    <row r="62" spans="1:12" ht="27" customHeight="1">
      <c r="A62" s="338" t="s">
        <v>536</v>
      </c>
      <c r="B62" s="338"/>
      <c r="C62" s="338"/>
      <c r="D62" s="338"/>
      <c r="E62" s="338"/>
      <c r="F62" s="338"/>
      <c r="G62" s="338"/>
      <c r="H62" s="338"/>
      <c r="I62" s="338"/>
      <c r="J62" s="338"/>
      <c r="K62" s="338"/>
      <c r="L62" s="338"/>
    </row>
    <row r="63" spans="1:12" ht="27.75" customHeight="1">
      <c r="A63" s="332" t="s">
        <v>211</v>
      </c>
      <c r="B63" s="332"/>
      <c r="C63" s="332"/>
      <c r="D63" s="332"/>
      <c r="E63" s="332"/>
      <c r="F63" s="332"/>
      <c r="G63" s="332"/>
      <c r="H63" s="332"/>
      <c r="I63" s="332"/>
      <c r="J63" s="332"/>
      <c r="K63" s="332"/>
      <c r="L63" s="332"/>
    </row>
    <row r="64" spans="1:13" ht="13.5">
      <c r="A64" s="335" t="s">
        <v>212</v>
      </c>
      <c r="B64" s="335"/>
      <c r="C64" s="335"/>
      <c r="D64" s="335"/>
      <c r="E64" s="335"/>
      <c r="F64" s="335"/>
      <c r="G64" s="335"/>
      <c r="H64" s="335"/>
      <c r="I64" s="335"/>
      <c r="J64" s="335"/>
      <c r="K64" s="335"/>
      <c r="L64" s="335"/>
      <c r="M64" s="335"/>
    </row>
    <row r="65" spans="1:13" ht="13.5">
      <c r="A65" s="335"/>
      <c r="B65" s="335"/>
      <c r="C65" s="335"/>
      <c r="D65" s="335"/>
      <c r="E65" s="335"/>
      <c r="F65" s="335"/>
      <c r="G65" s="335"/>
      <c r="H65" s="335"/>
      <c r="I65" s="335"/>
      <c r="J65" s="335"/>
      <c r="K65" s="335"/>
      <c r="L65" s="335"/>
      <c r="M65" s="335"/>
    </row>
  </sheetData>
  <mergeCells count="3">
    <mergeCell ref="A62:L62"/>
    <mergeCell ref="A63:L63"/>
    <mergeCell ref="A64:M65"/>
  </mergeCells>
  <printOptions horizontalCentered="1" verticalCentered="1"/>
  <pageMargins left="0.68" right="0.64" top="1" bottom="0.6" header="0.5" footer="0.5"/>
  <pageSetup horizontalDpi="600" verticalDpi="600" orientation="landscape" scale="55" r:id="rId2"/>
  <headerFooter alignWithMargins="0">
    <oddHeader>&amp;L&amp;G&amp;C&amp;"Optima,Bold"&amp;18INSURANCE SEGMENT
&amp;"Optima,Regular"&amp;12(U.S. dollars in thousands)
(Unaudited)</oddHeader>
    <oddFooter>&amp;C&amp;"Optima,Regular"19</oddFooter>
  </headerFooter>
  <legacyDrawingHF r:id="rId1"/>
</worksheet>
</file>

<file path=xl/worksheets/sheet28.xml><?xml version="1.0" encoding="utf-8"?>
<worksheet xmlns="http://schemas.openxmlformats.org/spreadsheetml/2006/main" xmlns:r="http://schemas.openxmlformats.org/officeDocument/2006/relationships">
  <sheetPr codeName="Sheet24"/>
  <dimension ref="A2:N45"/>
  <sheetViews>
    <sheetView workbookViewId="0" topLeftCell="A1">
      <pane xSplit="1" ySplit="3" topLeftCell="C19" activePane="bottomRight" state="frozen"/>
      <selection pane="topLeft" activeCell="B23" sqref="B23"/>
      <selection pane="topRight" activeCell="B23" sqref="B23"/>
      <selection pane="bottomLeft" activeCell="B23" sqref="B23"/>
      <selection pane="bottomRight" activeCell="K37" sqref="K37"/>
    </sheetView>
  </sheetViews>
  <sheetFormatPr defaultColWidth="9.140625" defaultRowHeight="12.75"/>
  <cols>
    <col min="1" max="1" width="32.8515625" style="1" customWidth="1"/>
    <col min="2" max="2" width="4.28125" style="1" customWidth="1"/>
    <col min="3" max="3" width="16.7109375" style="1" customWidth="1"/>
    <col min="4" max="4" width="4.28125" style="1" customWidth="1"/>
    <col min="5" max="5" width="16.7109375" style="1" customWidth="1"/>
    <col min="6" max="6" width="4.28125" style="1" customWidth="1"/>
    <col min="7" max="7" width="16.7109375" style="1" customWidth="1"/>
    <col min="8" max="8" width="4.28125" style="1" customWidth="1"/>
    <col min="9" max="9" width="16.7109375" style="1" customWidth="1"/>
    <col min="10" max="10" width="4.28125" style="1" customWidth="1"/>
    <col min="11" max="11" width="17.8515625" style="1" customWidth="1"/>
    <col min="12" max="12" width="4.57421875" style="1" customWidth="1"/>
    <col min="13" max="13" width="19.8515625" style="1" bestFit="1" customWidth="1"/>
    <col min="14" max="16384" width="9.140625" style="1" customWidth="1"/>
  </cols>
  <sheetData>
    <row r="2" spans="3:13" ht="15.75">
      <c r="C2" s="12" t="s">
        <v>302</v>
      </c>
      <c r="E2" s="12" t="s">
        <v>303</v>
      </c>
      <c r="G2" s="12" t="s">
        <v>304</v>
      </c>
      <c r="I2" s="12" t="s">
        <v>301</v>
      </c>
      <c r="K2" s="12" t="s">
        <v>302</v>
      </c>
      <c r="L2" s="56"/>
      <c r="M2" s="12" t="s">
        <v>305</v>
      </c>
    </row>
    <row r="3" spans="1:13" ht="15.75">
      <c r="A3" s="56"/>
      <c r="B3" s="56"/>
      <c r="C3" s="199" t="s">
        <v>27</v>
      </c>
      <c r="D3" s="101"/>
      <c r="E3" s="111" t="s">
        <v>547</v>
      </c>
      <c r="F3" s="101"/>
      <c r="G3" s="111" t="s">
        <v>500</v>
      </c>
      <c r="H3" s="101"/>
      <c r="I3" s="111" t="s">
        <v>402</v>
      </c>
      <c r="J3" s="101"/>
      <c r="K3" s="111" t="s">
        <v>310</v>
      </c>
      <c r="L3" s="101"/>
      <c r="M3" s="111" t="s">
        <v>121</v>
      </c>
    </row>
    <row r="4" spans="1:12" ht="13.5">
      <c r="A4" s="14" t="s">
        <v>404</v>
      </c>
      <c r="B4" s="14"/>
      <c r="C4" s="18"/>
      <c r="D4" s="18"/>
      <c r="E4" s="18"/>
      <c r="F4" s="18"/>
      <c r="G4" s="18"/>
      <c r="H4" s="18"/>
      <c r="I4" s="18"/>
      <c r="J4" s="18"/>
      <c r="K4" s="18"/>
      <c r="L4" s="56"/>
    </row>
    <row r="5" spans="1:13" ht="13.5">
      <c r="A5" s="28" t="s">
        <v>532</v>
      </c>
      <c r="B5" s="28"/>
      <c r="C5" s="26">
        <f>'Reinsurance Segmant Qtr'!C5</f>
        <v>1513795</v>
      </c>
      <c r="D5" s="26"/>
      <c r="E5" s="26">
        <f>G5+'Reinsurance Segmant Qtr'!E5</f>
        <v>2921121</v>
      </c>
      <c r="F5" s="26"/>
      <c r="G5" s="26">
        <f>I5+'Reinsurance Segmant Qtr'!G5</f>
        <v>2187236</v>
      </c>
      <c r="H5" s="26"/>
      <c r="I5" s="26">
        <f>K5+'Reinsurance Segmant Qtr'!I5</f>
        <v>1586779</v>
      </c>
      <c r="J5" s="26"/>
      <c r="K5" s="26">
        <f>'Reinsurance Segmant Qtr'!K5</f>
        <v>1035791</v>
      </c>
      <c r="L5" s="56"/>
      <c r="M5" s="288">
        <f>(C5-K5)/K5</f>
        <v>0.461486921589394</v>
      </c>
    </row>
    <row r="6" spans="1:13" ht="13.5">
      <c r="A6" s="28" t="s">
        <v>108</v>
      </c>
      <c r="B6" s="28"/>
      <c r="C6" s="18">
        <f>'Reinsurance Segmant Qtr'!C6</f>
        <v>0</v>
      </c>
      <c r="D6" s="18"/>
      <c r="E6" s="18">
        <f>G6+'Reinsurance Segmant Qtr'!E6</f>
        <v>253698</v>
      </c>
      <c r="F6" s="18"/>
      <c r="G6" s="18">
        <f>I6+'Reinsurance Segmant Qtr'!G6</f>
        <v>253698</v>
      </c>
      <c r="H6" s="18"/>
      <c r="I6" s="18">
        <f>K6+'Reinsurance Segmant Qtr'!I6</f>
        <v>253698</v>
      </c>
      <c r="J6" s="18"/>
      <c r="K6" s="18">
        <f>'Reinsurance Segmant Qtr'!K6</f>
        <v>253698</v>
      </c>
      <c r="L6" s="56"/>
      <c r="M6" s="289">
        <f>(C6-K6)/K6</f>
        <v>-1</v>
      </c>
    </row>
    <row r="7" spans="3:13" ht="13.5">
      <c r="C7" s="30">
        <f>'Reinsurance Segmant Qtr'!C7</f>
        <v>1513795</v>
      </c>
      <c r="D7" s="30"/>
      <c r="E7" s="30">
        <f>G7+'Reinsurance Segmant Qtr'!E7</f>
        <v>3174819</v>
      </c>
      <c r="F7" s="30"/>
      <c r="G7" s="30">
        <f>I7+'Reinsurance Segmant Qtr'!G7</f>
        <v>2440934</v>
      </c>
      <c r="H7" s="30"/>
      <c r="I7" s="30">
        <f>K7+'Reinsurance Segmant Qtr'!I7</f>
        <v>1840477</v>
      </c>
      <c r="J7" s="30"/>
      <c r="K7" s="30">
        <f>'Reinsurance Segmant Qtr'!K7</f>
        <v>1289489</v>
      </c>
      <c r="M7" s="287">
        <f>(C7-K7)/K7</f>
        <v>0.17394952574236772</v>
      </c>
    </row>
    <row r="8" spans="3:13" ht="13.5">
      <c r="C8" s="18"/>
      <c r="D8" s="18"/>
      <c r="E8" s="18"/>
      <c r="F8" s="18"/>
      <c r="G8" s="18"/>
      <c r="H8" s="18"/>
      <c r="I8" s="18"/>
      <c r="J8" s="18"/>
      <c r="K8" s="18"/>
      <c r="M8" s="99"/>
    </row>
    <row r="9" spans="1:13" ht="13.5">
      <c r="A9" s="14" t="s">
        <v>405</v>
      </c>
      <c r="B9" s="14"/>
      <c r="C9" s="18"/>
      <c r="D9" s="18"/>
      <c r="E9" s="18"/>
      <c r="F9" s="18"/>
      <c r="G9" s="18"/>
      <c r="H9" s="18"/>
      <c r="I9" s="18"/>
      <c r="J9" s="18"/>
      <c r="K9" s="18"/>
      <c r="M9" s="99"/>
    </row>
    <row r="10" spans="1:13" ht="13.5">
      <c r="A10" s="28" t="s">
        <v>532</v>
      </c>
      <c r="B10" s="28"/>
      <c r="C10" s="26">
        <f>'Reinsurance Segmant Qtr'!C10</f>
        <v>1259370</v>
      </c>
      <c r="D10" s="26"/>
      <c r="E10" s="26">
        <f>G10+'Reinsurance Segmant Qtr'!E10</f>
        <v>2389279</v>
      </c>
      <c r="F10" s="26"/>
      <c r="G10" s="26">
        <f>I10+'Reinsurance Segmant Qtr'!G10</f>
        <v>1845271</v>
      </c>
      <c r="H10" s="26"/>
      <c r="I10" s="26">
        <f>K10+'Reinsurance Segmant Qtr'!I10</f>
        <v>1338812</v>
      </c>
      <c r="J10" s="26"/>
      <c r="K10" s="26">
        <f>'Reinsurance Segmant Qtr'!K10</f>
        <v>871301</v>
      </c>
      <c r="M10" s="288">
        <f>(C10-K10)/K10</f>
        <v>0.44539028418422566</v>
      </c>
    </row>
    <row r="11" spans="1:13" ht="13.5">
      <c r="A11" s="28" t="s">
        <v>108</v>
      </c>
      <c r="B11" s="28"/>
      <c r="C11" s="18">
        <f>'Reinsurance Segmant Qtr'!C11</f>
        <v>0</v>
      </c>
      <c r="D11" s="18"/>
      <c r="E11" s="18">
        <f>G11+'Reinsurance Segmant Qtr'!E11</f>
        <v>175055</v>
      </c>
      <c r="F11" s="18"/>
      <c r="G11" s="18">
        <f>I11+'Reinsurance Segmant Qtr'!G11</f>
        <v>175055</v>
      </c>
      <c r="H11" s="18"/>
      <c r="I11" s="18">
        <f>K11+'Reinsurance Segmant Qtr'!I11</f>
        <v>175055</v>
      </c>
      <c r="J11" s="18"/>
      <c r="K11" s="18">
        <f>'Reinsurance Segmant Qtr'!K11</f>
        <v>175055</v>
      </c>
      <c r="M11" s="289">
        <f>(C11-K11)/K11</f>
        <v>-1</v>
      </c>
    </row>
    <row r="12" spans="3:13" ht="13.5">
      <c r="C12" s="30">
        <f>'Reinsurance Segmant Qtr'!C12</f>
        <v>1259370</v>
      </c>
      <c r="D12" s="30"/>
      <c r="E12" s="30">
        <f>G12+'Reinsurance Segmant Qtr'!E12</f>
        <v>2564334</v>
      </c>
      <c r="F12" s="30"/>
      <c r="G12" s="30">
        <f>I12+'Reinsurance Segmant Qtr'!G12</f>
        <v>2020326</v>
      </c>
      <c r="H12" s="30"/>
      <c r="I12" s="30">
        <f>K12+'Reinsurance Segmant Qtr'!I12</f>
        <v>1513867</v>
      </c>
      <c r="J12" s="30"/>
      <c r="K12" s="30">
        <f>'Reinsurance Segmant Qtr'!K12</f>
        <v>1046356</v>
      </c>
      <c r="M12" s="287">
        <f>(C12-K12)/K12</f>
        <v>0.20357698527078738</v>
      </c>
    </row>
    <row r="13" spans="3:13" ht="13.5">
      <c r="C13" s="18"/>
      <c r="D13" s="18"/>
      <c r="E13" s="18"/>
      <c r="F13" s="18"/>
      <c r="G13" s="18"/>
      <c r="H13" s="18"/>
      <c r="I13" s="18"/>
      <c r="J13" s="18"/>
      <c r="K13" s="18"/>
      <c r="M13" s="99"/>
    </row>
    <row r="14" spans="1:13" ht="13.5">
      <c r="A14" s="14" t="s">
        <v>406</v>
      </c>
      <c r="B14" s="14"/>
      <c r="C14" s="18">
        <f>'Reinsurance Segmant Qtr'!C14</f>
        <v>550660</v>
      </c>
      <c r="D14" s="18"/>
      <c r="E14" s="18">
        <f>G14+'Reinsurance Segmant Qtr'!E14</f>
        <v>2066775</v>
      </c>
      <c r="F14" s="18"/>
      <c r="G14" s="18">
        <f>I14+'Reinsurance Segmant Qtr'!G14</f>
        <v>1423036</v>
      </c>
      <c r="H14" s="18"/>
      <c r="I14" s="18">
        <f>'Reinsurance Segmant Qtr'!I14+K14</f>
        <v>916467</v>
      </c>
      <c r="J14" s="18"/>
      <c r="K14" s="18">
        <f>'Reinsurance Segmant Qtr'!K14</f>
        <v>421167</v>
      </c>
      <c r="M14" s="288">
        <f>(C14-K14)/K14</f>
        <v>0.3074623605363193</v>
      </c>
    </row>
    <row r="15" spans="3:13" ht="13.5">
      <c r="C15" s="18"/>
      <c r="D15" s="18"/>
      <c r="E15" s="18"/>
      <c r="F15" s="18"/>
      <c r="G15" s="18"/>
      <c r="H15" s="18"/>
      <c r="I15" s="18"/>
      <c r="J15" s="18"/>
      <c r="K15" s="18"/>
      <c r="M15" s="99"/>
    </row>
    <row r="16" spans="1:13" ht="13.5">
      <c r="A16" s="14" t="s">
        <v>395</v>
      </c>
      <c r="B16" s="14"/>
      <c r="C16" s="18">
        <f>'Reinsurance Segmant Qtr'!C16</f>
        <v>11450</v>
      </c>
      <c r="D16" s="18"/>
      <c r="E16" s="18">
        <f>G16+'Reinsurance Segmant Qtr'!E16</f>
        <v>11201</v>
      </c>
      <c r="F16" s="18"/>
      <c r="G16" s="18">
        <f>I16+'Reinsurance Segmant Qtr'!G16</f>
        <v>12869</v>
      </c>
      <c r="H16" s="18"/>
      <c r="I16" s="18">
        <f>'Reinsurance Segmant Qtr'!I16+K16</f>
        <v>9405</v>
      </c>
      <c r="J16" s="18"/>
      <c r="K16" s="18">
        <f>'Reinsurance Segmant Qtr'!K16</f>
        <v>899</v>
      </c>
      <c r="M16" s="135" t="s">
        <v>80</v>
      </c>
    </row>
    <row r="17" spans="3:13" ht="13.5">
      <c r="C17" s="18"/>
      <c r="D17" s="18"/>
      <c r="E17" s="18"/>
      <c r="F17" s="18"/>
      <c r="G17" s="18"/>
      <c r="H17" s="18"/>
      <c r="I17" s="18"/>
      <c r="J17" s="18"/>
      <c r="K17" s="18"/>
      <c r="M17" s="99"/>
    </row>
    <row r="18" spans="1:13" ht="13.5">
      <c r="A18" s="14" t="s">
        <v>336</v>
      </c>
      <c r="B18" s="14"/>
      <c r="C18" s="18"/>
      <c r="D18" s="18"/>
      <c r="E18" s="18"/>
      <c r="F18" s="18"/>
      <c r="G18" s="18"/>
      <c r="H18" s="18"/>
      <c r="I18" s="18"/>
      <c r="J18" s="18"/>
      <c r="K18" s="18"/>
      <c r="M18" s="99"/>
    </row>
    <row r="19" spans="1:13" ht="13.5">
      <c r="A19" s="28" t="s">
        <v>532</v>
      </c>
      <c r="B19" s="28"/>
      <c r="C19" s="26">
        <f>'Reinsurance Segmant Qtr'!C19</f>
        <v>350506</v>
      </c>
      <c r="D19" s="26"/>
      <c r="E19" s="26">
        <f>G19+'Reinsurance Segmant Qtr'!E19</f>
        <v>1215065</v>
      </c>
      <c r="F19" s="26"/>
      <c r="G19" s="26">
        <f>I19+'Reinsurance Segmant Qtr'!G19</f>
        <v>881838</v>
      </c>
      <c r="H19" s="26"/>
      <c r="I19" s="26">
        <f>K19+'Reinsurance Segmant Qtr'!I19</f>
        <v>565193</v>
      </c>
      <c r="J19" s="26"/>
      <c r="K19" s="26">
        <f>'Reinsurance Segmant Qtr'!K19</f>
        <v>264632</v>
      </c>
      <c r="M19" s="288">
        <f>(C19-K19)/K19</f>
        <v>0.3245034614105626</v>
      </c>
    </row>
    <row r="20" spans="1:13" ht="13.5">
      <c r="A20" s="28" t="s">
        <v>109</v>
      </c>
      <c r="B20" s="28"/>
      <c r="C20" s="18">
        <f>'Reinsurance Segmant Qtr'!C20</f>
        <v>0</v>
      </c>
      <c r="D20" s="18"/>
      <c r="E20" s="18">
        <f>G20+'Reinsurance Segmant Qtr'!E20</f>
        <v>215000</v>
      </c>
      <c r="F20" s="18"/>
      <c r="G20" s="18">
        <f>I20+'Reinsurance Segmant Qtr'!G20</f>
        <v>0</v>
      </c>
      <c r="H20" s="18"/>
      <c r="I20" s="18">
        <f>K20+'Reinsurance Segmant Qtr'!I20</f>
        <v>0</v>
      </c>
      <c r="J20" s="18"/>
      <c r="K20" s="18">
        <f>'Reinsurance Segmant Qtr'!K20</f>
        <v>0</v>
      </c>
      <c r="M20" s="135" t="s">
        <v>80</v>
      </c>
    </row>
    <row r="21" spans="1:13" ht="13.5">
      <c r="A21" s="28" t="s">
        <v>421</v>
      </c>
      <c r="B21" s="28"/>
      <c r="C21" s="18">
        <f>'Reinsurance Segmant Qtr'!C21</f>
        <v>0</v>
      </c>
      <c r="D21" s="18"/>
      <c r="E21" s="18">
        <f>G21+'Reinsurance Segmant Qtr'!E21</f>
        <v>127000</v>
      </c>
      <c r="F21" s="18"/>
      <c r="G21" s="18">
        <f>I21+'Reinsurance Segmant Qtr'!G21</f>
        <v>127000</v>
      </c>
      <c r="H21" s="18"/>
      <c r="I21" s="18">
        <f>K21+'Reinsurance Segmant Qtr'!I21</f>
        <v>127000</v>
      </c>
      <c r="J21" s="18"/>
      <c r="K21" s="18">
        <f>'Reinsurance Segmant Qtr'!K21</f>
        <v>0</v>
      </c>
      <c r="M21" s="167" t="s">
        <v>80</v>
      </c>
    </row>
    <row r="22" spans="3:13" ht="13.5">
      <c r="C22" s="30">
        <f>'Reinsurance Segmant Qtr'!C22</f>
        <v>350506</v>
      </c>
      <c r="D22" s="30"/>
      <c r="E22" s="30">
        <f>G22+'Reinsurance Segmant Qtr'!E22</f>
        <v>1557065</v>
      </c>
      <c r="F22" s="30"/>
      <c r="G22" s="30">
        <f>I22+'Reinsurance Segmant Qtr'!G22</f>
        <v>1008838</v>
      </c>
      <c r="H22" s="30"/>
      <c r="I22" s="30">
        <f>K22+'Reinsurance Segmant Qtr'!I22</f>
        <v>692193</v>
      </c>
      <c r="J22" s="30"/>
      <c r="K22" s="30">
        <f>'Reinsurance Segmant Qtr'!K22</f>
        <v>264632</v>
      </c>
      <c r="M22" s="287">
        <f>(C22-K22)/K22</f>
        <v>0.3245034614105626</v>
      </c>
    </row>
    <row r="23" ht="13.5">
      <c r="M23" s="99"/>
    </row>
    <row r="24" spans="1:13" ht="13.5">
      <c r="A24" s="14" t="s">
        <v>397</v>
      </c>
      <c r="B24" s="14"/>
      <c r="C24" s="18">
        <f>'Reinsurance Segmant Qtr'!C24</f>
        <v>104649</v>
      </c>
      <c r="D24" s="18"/>
      <c r="E24" s="18">
        <f>G24+'Reinsurance Segmant Qtr'!E24</f>
        <v>454300</v>
      </c>
      <c r="F24" s="18"/>
      <c r="G24" s="18">
        <f>I24+'Reinsurance Segmant Qtr'!G24</f>
        <v>306418</v>
      </c>
      <c r="H24" s="18"/>
      <c r="I24" s="18">
        <f>'Reinsurance Segmant Qtr'!I24+K24</f>
        <v>192509</v>
      </c>
      <c r="J24" s="18"/>
      <c r="K24" s="18">
        <f>'Reinsurance Segmant Qtr'!K24</f>
        <v>92214</v>
      </c>
      <c r="M24" s="288">
        <f>(C24-K24)/K24</f>
        <v>0.13484937211269438</v>
      </c>
    </row>
    <row r="25" ht="13.5">
      <c r="M25" s="99"/>
    </row>
    <row r="26" spans="1:13" ht="13.5">
      <c r="A26" s="14" t="s">
        <v>398</v>
      </c>
      <c r="B26" s="14"/>
      <c r="C26" s="18">
        <f>'Reinsurance Segmant Qtr'!C26</f>
        <v>34560</v>
      </c>
      <c r="D26" s="18"/>
      <c r="E26" s="18">
        <f>G26+'Reinsurance Segmant Qtr'!E26</f>
        <v>109796</v>
      </c>
      <c r="F26" s="18"/>
      <c r="G26" s="18">
        <f>I26+'Reinsurance Segmant Qtr'!G26</f>
        <v>79651</v>
      </c>
      <c r="H26" s="18"/>
      <c r="I26" s="18">
        <f>'Reinsurance Segmant Qtr'!I26+K26</f>
        <v>49707</v>
      </c>
      <c r="J26" s="18"/>
      <c r="K26" s="18">
        <f>'Reinsurance Segmant Qtr'!K26</f>
        <v>18686</v>
      </c>
      <c r="M26" s="288">
        <f>(C26-K26)/K26</f>
        <v>0.8495130043883121</v>
      </c>
    </row>
    <row r="27" ht="13.5">
      <c r="M27" s="32"/>
    </row>
    <row r="28" spans="1:13" ht="13.5">
      <c r="A28" s="14" t="s">
        <v>469</v>
      </c>
      <c r="B28" s="14"/>
      <c r="C28" s="18">
        <f>'Reinsurance Segmant Qtr'!C28</f>
        <v>-10419</v>
      </c>
      <c r="D28" s="18"/>
      <c r="E28" s="18">
        <f>G28+'Reinsurance Segmant Qtr'!E28</f>
        <v>-23787</v>
      </c>
      <c r="F28" s="18"/>
      <c r="G28" s="18">
        <f>I28+'Reinsurance Segmant Qtr'!G28</f>
        <v>-15891</v>
      </c>
      <c r="H28" s="18"/>
      <c r="I28" s="18">
        <f>'Reinsurance Segmant Qtr'!I28+K28</f>
        <v>-7277</v>
      </c>
      <c r="J28" s="18"/>
      <c r="K28" s="18">
        <f>'Reinsurance Segmant Qtr'!K28</f>
        <v>-6252</v>
      </c>
      <c r="M28" s="135"/>
    </row>
    <row r="29" spans="3:14" ht="13.5">
      <c r="C29" s="18"/>
      <c r="D29" s="18"/>
      <c r="E29" s="18"/>
      <c r="F29" s="18"/>
      <c r="G29" s="18"/>
      <c r="H29" s="18"/>
      <c r="I29" s="18"/>
      <c r="J29" s="18"/>
      <c r="K29" s="18"/>
      <c r="M29" s="40"/>
      <c r="N29" s="56"/>
    </row>
    <row r="30" spans="1:14" ht="13.5">
      <c r="A30" s="14" t="s">
        <v>342</v>
      </c>
      <c r="B30" s="14"/>
      <c r="C30" s="37">
        <f>'Reinsurance Segmant Qtr'!C30</f>
        <v>82814</v>
      </c>
      <c r="D30" s="37"/>
      <c r="E30" s="37">
        <f>G30+'Reinsurance Segmant Qtr'!E30</f>
        <v>-19398</v>
      </c>
      <c r="F30" s="37"/>
      <c r="G30" s="37">
        <f>I30+'Reinsurance Segmant Qtr'!G30</f>
        <v>56889</v>
      </c>
      <c r="H30" s="37"/>
      <c r="I30" s="37">
        <f>K30+'Reinsurance Segmant Qtr'!I30</f>
        <v>-1260</v>
      </c>
      <c r="J30" s="37"/>
      <c r="K30" s="37">
        <f>'Reinsurance Segmant Qtr'!K30</f>
        <v>52786</v>
      </c>
      <c r="M30" s="83"/>
      <c r="N30" s="56"/>
    </row>
    <row r="31" spans="13:14" ht="13.5">
      <c r="M31" s="56"/>
      <c r="N31" s="56"/>
    </row>
    <row r="32" spans="1:2" ht="13.5">
      <c r="A32" s="38" t="s">
        <v>498</v>
      </c>
      <c r="B32" s="60"/>
    </row>
    <row r="33" spans="1:11" ht="13.5">
      <c r="A33" s="1" t="s">
        <v>343</v>
      </c>
      <c r="C33" s="32">
        <f>+(C22-C21)/C14</f>
        <v>0.6365198125885301</v>
      </c>
      <c r="D33" s="32"/>
      <c r="E33" s="32">
        <f>+(E22-E21)/E14</f>
        <v>0.6919306649248225</v>
      </c>
      <c r="F33" s="32"/>
      <c r="G33" s="32">
        <f>+(G22-G21)/G14</f>
        <v>0.6196877661563024</v>
      </c>
      <c r="H33" s="32"/>
      <c r="I33" s="32">
        <f>+(I22-I21)/I14</f>
        <v>0.616708512145009</v>
      </c>
      <c r="J33" s="32"/>
      <c r="K33" s="32">
        <f>+(K22-K21)/K14</f>
        <v>0.6283303297741751</v>
      </c>
    </row>
    <row r="34" spans="1:11" ht="13.5">
      <c r="A34" s="1" t="s">
        <v>344</v>
      </c>
      <c r="C34" s="32">
        <f>C24/C14</f>
        <v>0.19004285766171503</v>
      </c>
      <c r="D34" s="32"/>
      <c r="E34" s="32">
        <f>E24/E14</f>
        <v>0.21981105829129924</v>
      </c>
      <c r="F34" s="32"/>
      <c r="G34" s="32">
        <f>G24/G14</f>
        <v>0.21532694886144835</v>
      </c>
      <c r="H34" s="32"/>
      <c r="I34" s="32">
        <f>I24/I14</f>
        <v>0.21005557210461479</v>
      </c>
      <c r="J34" s="32"/>
      <c r="K34" s="32">
        <f>K24/K14</f>
        <v>0.21894877803816537</v>
      </c>
    </row>
    <row r="35" spans="1:11" ht="13.5">
      <c r="A35" s="1" t="s">
        <v>345</v>
      </c>
      <c r="C35" s="32">
        <f>C26/C14-0.001</f>
        <v>0.061761050375912535</v>
      </c>
      <c r="D35" s="40"/>
      <c r="E35" s="32">
        <f>E26/E14</f>
        <v>0.05312431203203058</v>
      </c>
      <c r="F35" s="40"/>
      <c r="G35" s="32">
        <f>G26/G14</f>
        <v>0.055972582562914784</v>
      </c>
      <c r="H35" s="40"/>
      <c r="I35" s="32">
        <f>I26/I14</f>
        <v>0.054237632124233603</v>
      </c>
      <c r="J35" s="40"/>
      <c r="K35" s="32">
        <f>K26/K14+0.001</f>
        <v>0.04536719875963691</v>
      </c>
    </row>
    <row r="36" spans="1:14" ht="14.25" thickBot="1">
      <c r="A36" s="1" t="s">
        <v>346</v>
      </c>
      <c r="C36" s="39">
        <f>SUM(C33:C35)+0.001</f>
        <v>0.8893237206261576</v>
      </c>
      <c r="D36" s="40"/>
      <c r="E36" s="39">
        <f>SUM(E33:E35)</f>
        <v>0.9648660352481523</v>
      </c>
      <c r="F36" s="40"/>
      <c r="G36" s="39">
        <f>SUM(G33:G35)</f>
        <v>0.8909872975806655</v>
      </c>
      <c r="H36" s="40"/>
      <c r="I36" s="39">
        <f>SUM(I33:I35)</f>
        <v>0.8810017163738574</v>
      </c>
      <c r="J36" s="40"/>
      <c r="K36" s="39">
        <f>SUM(K33:K35)-0.001</f>
        <v>0.8916463065719774</v>
      </c>
      <c r="L36" s="32"/>
      <c r="M36" s="32"/>
      <c r="N36" s="32"/>
    </row>
    <row r="37" spans="3:14" ht="14.25" thickTop="1">
      <c r="C37" s="64"/>
      <c r="D37" s="56"/>
      <c r="E37" s="64"/>
      <c r="F37" s="56"/>
      <c r="G37" s="64"/>
      <c r="H37" s="56"/>
      <c r="I37" s="64"/>
      <c r="J37" s="56"/>
      <c r="K37" s="64"/>
      <c r="L37" s="32"/>
      <c r="M37" s="32"/>
      <c r="N37" s="32"/>
    </row>
    <row r="38" spans="1:14" ht="13.5">
      <c r="A38" s="38" t="s">
        <v>497</v>
      </c>
      <c r="B38" s="60"/>
      <c r="C38" s="64"/>
      <c r="D38" s="56"/>
      <c r="E38" s="64"/>
      <c r="F38" s="56"/>
      <c r="G38" s="64"/>
      <c r="H38" s="56"/>
      <c r="I38" s="64"/>
      <c r="J38" s="56"/>
      <c r="K38" s="64"/>
      <c r="L38" s="32"/>
      <c r="M38" s="32"/>
      <c r="N38" s="32"/>
    </row>
    <row r="39" spans="1:14" ht="13.5">
      <c r="A39" s="1" t="s">
        <v>343</v>
      </c>
      <c r="C39" s="87" t="s">
        <v>420</v>
      </c>
      <c r="D39" s="40"/>
      <c r="E39" s="40">
        <f>+E22/E14</f>
        <v>0.7533790567429933</v>
      </c>
      <c r="F39" s="40"/>
      <c r="G39" s="40">
        <f>+G22/G14</f>
        <v>0.7089335758195857</v>
      </c>
      <c r="H39" s="40"/>
      <c r="I39" s="40">
        <f>+I22/I14</f>
        <v>0.7552841509841598</v>
      </c>
      <c r="J39" s="40"/>
      <c r="K39" s="99" t="s">
        <v>420</v>
      </c>
      <c r="L39" s="32"/>
      <c r="M39" s="32"/>
      <c r="N39" s="32"/>
    </row>
    <row r="40" spans="1:14" ht="13.5">
      <c r="A40" s="1" t="s">
        <v>346</v>
      </c>
      <c r="C40" s="87" t="s">
        <v>420</v>
      </c>
      <c r="D40" s="40"/>
      <c r="E40" s="40">
        <f>+E39+E34+E35</f>
        <v>1.0263144270663231</v>
      </c>
      <c r="F40" s="40"/>
      <c r="G40" s="40">
        <f>+G39+G34+G35</f>
        <v>0.9802331072439489</v>
      </c>
      <c r="H40" s="40"/>
      <c r="I40" s="40">
        <f>+I39+I34+I35</f>
        <v>1.0195773552130083</v>
      </c>
      <c r="J40" s="40"/>
      <c r="K40" s="99" t="s">
        <v>420</v>
      </c>
      <c r="L40" s="32"/>
      <c r="M40" s="32"/>
      <c r="N40" s="32"/>
    </row>
    <row r="41" spans="4:14" ht="13.5">
      <c r="D41" s="56"/>
      <c r="F41" s="56"/>
      <c r="H41" s="56"/>
      <c r="J41" s="56"/>
      <c r="L41" s="32"/>
      <c r="M41" s="32"/>
      <c r="N41" s="32"/>
    </row>
    <row r="42" ht="13.5">
      <c r="A42" s="14" t="s">
        <v>315</v>
      </c>
    </row>
    <row r="43" ht="13.5">
      <c r="A43" s="1" t="s">
        <v>110</v>
      </c>
    </row>
    <row r="44" ht="13.5">
      <c r="A44" s="1" t="s">
        <v>256</v>
      </c>
    </row>
    <row r="45" ht="13.5">
      <c r="A45" s="1" t="s">
        <v>255</v>
      </c>
    </row>
  </sheetData>
  <printOptions horizontalCentered="1" verticalCentered="1"/>
  <pageMargins left="0.64" right="0.64" top="1" bottom="0.6" header="0.5" footer="0.5"/>
  <pageSetup horizontalDpi="600" verticalDpi="600" orientation="landscape" scale="55" r:id="rId2"/>
  <headerFooter alignWithMargins="0">
    <oddHeader>&amp;L&amp;G&amp;C&amp;"Optima,Bold"&amp;18REINSURANCE SEGMENT - GENERAL OPERATIONS
&amp;"Optima,Regular"&amp;12(U.S. dollars in thousands)
(Unaudited)</oddHeader>
    <oddFooter>&amp;C&amp;"Optima,Regular"20</oddFooter>
  </headerFooter>
  <legacyDrawingHF r:id="rId1"/>
</worksheet>
</file>

<file path=xl/worksheets/sheet29.xml><?xml version="1.0" encoding="utf-8"?>
<worksheet xmlns="http://schemas.openxmlformats.org/spreadsheetml/2006/main" xmlns:r="http://schemas.openxmlformats.org/officeDocument/2006/relationships">
  <sheetPr codeName="Sheet25"/>
  <dimension ref="A4:N30"/>
  <sheetViews>
    <sheetView workbookViewId="0" topLeftCell="A5">
      <selection activeCell="A31" sqref="A31"/>
    </sheetView>
  </sheetViews>
  <sheetFormatPr defaultColWidth="9.140625" defaultRowHeight="12.75"/>
  <cols>
    <col min="1" max="1" width="33.00390625" style="1" customWidth="1"/>
    <col min="2" max="2" width="3.00390625" style="1" customWidth="1"/>
    <col min="3" max="3" width="16.7109375" style="1" customWidth="1"/>
    <col min="4" max="4" width="4.8515625" style="1" customWidth="1"/>
    <col min="5" max="5" width="16.7109375" style="1" customWidth="1"/>
    <col min="6" max="6" width="4.8515625" style="1" customWidth="1"/>
    <col min="7" max="7" width="16.7109375" style="1" customWidth="1"/>
    <col min="8" max="8" width="4.00390625" style="1" customWidth="1"/>
    <col min="9" max="9" width="16.7109375" style="1" customWidth="1"/>
    <col min="10" max="10" width="4.00390625" style="1" customWidth="1"/>
    <col min="11" max="11" width="16.7109375" style="1" customWidth="1"/>
    <col min="12" max="12" width="3.28125" style="1" customWidth="1"/>
    <col min="13" max="13" width="19.8515625" style="1" bestFit="1" customWidth="1"/>
    <col min="14" max="16384" width="9.140625" style="1" customWidth="1"/>
  </cols>
  <sheetData>
    <row r="4" spans="3:13" ht="15.75">
      <c r="C4" s="12" t="s">
        <v>302</v>
      </c>
      <c r="E4" s="12" t="s">
        <v>303</v>
      </c>
      <c r="G4" s="12" t="s">
        <v>304</v>
      </c>
      <c r="I4" s="12" t="s">
        <v>301</v>
      </c>
      <c r="K4" s="12" t="s">
        <v>302</v>
      </c>
      <c r="L4" s="12"/>
      <c r="M4" s="12" t="s">
        <v>305</v>
      </c>
    </row>
    <row r="5" spans="1:14" ht="15.75">
      <c r="A5" s="56"/>
      <c r="B5" s="56"/>
      <c r="C5" s="199" t="s">
        <v>27</v>
      </c>
      <c r="D5" s="101"/>
      <c r="E5" s="111" t="s">
        <v>547</v>
      </c>
      <c r="F5" s="101"/>
      <c r="G5" s="111" t="s">
        <v>500</v>
      </c>
      <c r="H5" s="101"/>
      <c r="I5" s="111" t="s">
        <v>402</v>
      </c>
      <c r="J5" s="101"/>
      <c r="K5" s="111" t="s">
        <v>310</v>
      </c>
      <c r="L5" s="111"/>
      <c r="M5" s="111" t="s">
        <v>121</v>
      </c>
      <c r="N5" s="56"/>
    </row>
    <row r="6" spans="1:14" ht="15.75">
      <c r="A6" s="56"/>
      <c r="B6" s="56"/>
      <c r="C6" s="111"/>
      <c r="D6" s="101"/>
      <c r="E6" s="111"/>
      <c r="F6" s="101"/>
      <c r="G6" s="111" t="s">
        <v>496</v>
      </c>
      <c r="H6" s="101"/>
      <c r="I6" s="111"/>
      <c r="J6" s="101"/>
      <c r="K6" s="111"/>
      <c r="L6" s="111"/>
      <c r="N6" s="56"/>
    </row>
    <row r="7" spans="12:13" ht="13.5">
      <c r="L7" s="56"/>
      <c r="M7" s="288"/>
    </row>
    <row r="8" spans="1:13" ht="13.5">
      <c r="A8" s="1" t="s">
        <v>404</v>
      </c>
      <c r="C8" s="26">
        <f>'Reins - Life operations Qtr'!C6</f>
        <v>93137</v>
      </c>
      <c r="D8" s="26"/>
      <c r="E8" s="26">
        <f>G8+'Reins - Life operations Qtr'!E6</f>
        <v>1003154</v>
      </c>
      <c r="F8" s="26"/>
      <c r="G8" s="26">
        <f>I8+'Reins - Life operations Qtr'!G6</f>
        <v>851570</v>
      </c>
      <c r="H8" s="26"/>
      <c r="I8" s="26">
        <f>K8+'Reins - Life operations Qtr'!I6</f>
        <v>58496</v>
      </c>
      <c r="J8" s="26"/>
      <c r="K8" s="26">
        <f>'Reins - Life operations Qtr'!K6</f>
        <v>38528</v>
      </c>
      <c r="L8" s="112"/>
      <c r="M8" s="288">
        <f>(C8-K8)/K8</f>
        <v>1.4173847591362125</v>
      </c>
    </row>
    <row r="9" spans="3:13" ht="13.5">
      <c r="C9" s="18"/>
      <c r="E9" s="18"/>
      <c r="G9" s="18"/>
      <c r="I9" s="18"/>
      <c r="K9" s="18"/>
      <c r="L9" s="56"/>
      <c r="M9" s="288"/>
    </row>
    <row r="10" spans="1:13" ht="13.5">
      <c r="A10" s="1" t="s">
        <v>405</v>
      </c>
      <c r="C10" s="26">
        <f>'Reins - Life operations Qtr'!C8</f>
        <v>86189</v>
      </c>
      <c r="D10" s="26"/>
      <c r="E10" s="26">
        <f>G10+'Reins - Life operations Qtr'!E8</f>
        <v>979825</v>
      </c>
      <c r="F10" s="26"/>
      <c r="G10" s="26">
        <f>I10+'Reins - Life operations Qtr'!G8</f>
        <v>836000</v>
      </c>
      <c r="H10" s="26"/>
      <c r="I10" s="26">
        <f>K10+'Reins - Life operations Qtr'!I8</f>
        <v>48497</v>
      </c>
      <c r="J10" s="26"/>
      <c r="K10" s="26">
        <f>'Reins - Life operations Qtr'!K8</f>
        <v>36968</v>
      </c>
      <c r="L10" s="17"/>
      <c r="M10" s="288">
        <f>(C10-K10)/K10</f>
        <v>1.3314488206016013</v>
      </c>
    </row>
    <row r="11" spans="3:13" ht="13.5">
      <c r="C11" s="26"/>
      <c r="D11" s="26"/>
      <c r="E11" s="26"/>
      <c r="F11" s="26"/>
      <c r="G11" s="26"/>
      <c r="H11" s="26"/>
      <c r="I11" s="26"/>
      <c r="J11" s="26"/>
      <c r="K11" s="26"/>
      <c r="L11" s="17"/>
      <c r="M11" s="32"/>
    </row>
    <row r="12" spans="3:13" ht="13.5">
      <c r="C12" s="26"/>
      <c r="D12" s="26"/>
      <c r="E12" s="26"/>
      <c r="F12" s="26"/>
      <c r="G12" s="26"/>
      <c r="H12" s="26"/>
      <c r="I12" s="26"/>
      <c r="J12" s="26"/>
      <c r="K12" s="26"/>
      <c r="L12" s="17"/>
      <c r="M12" s="288"/>
    </row>
    <row r="13" spans="1:13" ht="13.5">
      <c r="A13" s="1" t="s">
        <v>406</v>
      </c>
      <c r="C13" s="26">
        <f>'Reins - Life operations Qtr'!C11</f>
        <v>83237</v>
      </c>
      <c r="D13" s="26"/>
      <c r="E13" s="26">
        <f>G13+'Reins - Life operations Qtr'!E11</f>
        <v>980387</v>
      </c>
      <c r="F13" s="26"/>
      <c r="G13" s="26">
        <f>I13+'Reins - Life operations Qtr'!G11</f>
        <v>836073</v>
      </c>
      <c r="H13" s="26"/>
      <c r="I13" s="26">
        <f>K13+'Reins - Life operations Qtr'!I11</f>
        <v>49690</v>
      </c>
      <c r="J13" s="26"/>
      <c r="K13" s="26">
        <f>'Reins - Life operations Qtr'!K11</f>
        <v>39193</v>
      </c>
      <c r="L13" s="17"/>
      <c r="M13" s="288">
        <f>(C13-K13)/K13</f>
        <v>1.1237721021611002</v>
      </c>
    </row>
    <row r="14" spans="3:13" ht="13.5">
      <c r="C14" s="18"/>
      <c r="D14" s="18"/>
      <c r="E14" s="18"/>
      <c r="F14" s="18"/>
      <c r="G14" s="18"/>
      <c r="H14" s="18"/>
      <c r="I14" s="18"/>
      <c r="J14" s="18"/>
      <c r="K14" s="18"/>
      <c r="L14" s="56"/>
      <c r="M14" s="288"/>
    </row>
    <row r="15" spans="1:13" ht="13.5">
      <c r="A15" s="1" t="s">
        <v>395</v>
      </c>
      <c r="C15" s="18">
        <f>'Reins - Life operations Qtr'!C13</f>
        <v>0</v>
      </c>
      <c r="D15" s="18"/>
      <c r="E15" s="18">
        <f>G15+'Reins - Life operations Qtr'!E13</f>
        <v>2</v>
      </c>
      <c r="F15" s="18"/>
      <c r="G15" s="18">
        <f>I15+'Reins - Life operations Qtr'!G13</f>
        <v>2</v>
      </c>
      <c r="H15" s="18"/>
      <c r="I15" s="18">
        <f>K15+'Reins - Life operations Qtr'!I13</f>
        <v>2</v>
      </c>
      <c r="J15" s="18"/>
      <c r="K15" s="18">
        <f>'Reins - Life operations Qtr'!K13</f>
        <v>2</v>
      </c>
      <c r="L15" s="112"/>
      <c r="M15" s="288">
        <f>(C15-K15)/K15</f>
        <v>-1</v>
      </c>
    </row>
    <row r="16" spans="3:13" ht="13.5">
      <c r="C16" s="18"/>
      <c r="D16" s="18"/>
      <c r="E16" s="18"/>
      <c r="F16" s="18"/>
      <c r="G16" s="18"/>
      <c r="H16" s="18"/>
      <c r="I16" s="18"/>
      <c r="J16" s="18"/>
      <c r="K16" s="18"/>
      <c r="L16" s="56"/>
      <c r="M16" s="288"/>
    </row>
    <row r="17" spans="1:13" ht="13.5">
      <c r="A17" s="1" t="s">
        <v>129</v>
      </c>
      <c r="C17" s="18">
        <f>'Reins - Life operations Qtr'!C15</f>
        <v>110472</v>
      </c>
      <c r="D17" s="18"/>
      <c r="E17" s="18">
        <f>G17+'Reins - Life operations Qtr'!E15</f>
        <v>1027981</v>
      </c>
      <c r="F17" s="18"/>
      <c r="G17" s="18">
        <f>I17+'Reins - Life operations Qtr'!G15</f>
        <v>870320</v>
      </c>
      <c r="H17" s="18"/>
      <c r="I17" s="18">
        <f>K17+'Reins - Life operations Qtr'!I15</f>
        <v>66579</v>
      </c>
      <c r="J17" s="18"/>
      <c r="K17" s="18">
        <f>'Reins - Life operations Qtr'!K15</f>
        <v>47763</v>
      </c>
      <c r="L17" s="112"/>
      <c r="M17" s="288">
        <f>(C17-K17)/K17</f>
        <v>1.312920042710885</v>
      </c>
    </row>
    <row r="18" spans="3:13" ht="13.5">
      <c r="C18" s="18"/>
      <c r="D18" s="18"/>
      <c r="E18" s="18"/>
      <c r="F18" s="18"/>
      <c r="G18" s="18"/>
      <c r="H18" s="18"/>
      <c r="I18" s="18"/>
      <c r="J18" s="18"/>
      <c r="K18" s="18"/>
      <c r="L18" s="56"/>
      <c r="M18" s="32"/>
    </row>
    <row r="19" spans="1:13" ht="13.5">
      <c r="A19" s="1" t="s">
        <v>397</v>
      </c>
      <c r="C19" s="18">
        <f>'Reins - Life operations Qtr'!C17</f>
        <v>6953</v>
      </c>
      <c r="D19" s="18"/>
      <c r="E19" s="18">
        <f>G19+'Reins - Life operations Qtr'!E17</f>
        <v>12839</v>
      </c>
      <c r="F19" s="18"/>
      <c r="G19" s="18">
        <f>I19+'Reins - Life operations Qtr'!G17</f>
        <v>5723</v>
      </c>
      <c r="H19" s="18"/>
      <c r="I19" s="18">
        <f>K19+'Reins - Life operations Qtr'!I17</f>
        <v>1871</v>
      </c>
      <c r="J19" s="18"/>
      <c r="K19" s="18">
        <f>'Reins - Life operations Qtr'!K17</f>
        <v>595</v>
      </c>
      <c r="L19" s="112"/>
      <c r="M19" s="288" t="s">
        <v>80</v>
      </c>
    </row>
    <row r="20" spans="3:13" ht="13.5">
      <c r="C20" s="18"/>
      <c r="D20" s="18"/>
      <c r="E20" s="18"/>
      <c r="F20" s="18"/>
      <c r="G20" s="18"/>
      <c r="H20" s="18"/>
      <c r="I20" s="18"/>
      <c r="J20" s="18"/>
      <c r="K20" s="18"/>
      <c r="L20" s="56"/>
      <c r="M20" s="32"/>
    </row>
    <row r="21" spans="1:13" ht="13.5">
      <c r="A21" s="1" t="s">
        <v>398</v>
      </c>
      <c r="C21" s="18">
        <f>'Reins - Life operations Qtr'!C19</f>
        <v>2265</v>
      </c>
      <c r="D21" s="18"/>
      <c r="E21" s="18">
        <f>G21+'Reins - Life operations Qtr'!E19</f>
        <v>5844</v>
      </c>
      <c r="F21" s="18"/>
      <c r="G21" s="18">
        <f>I21+'Reins - Life operations Qtr'!G19</f>
        <v>3611</v>
      </c>
      <c r="H21" s="18"/>
      <c r="I21" s="18">
        <f>K21+'Reins - Life operations Qtr'!I19</f>
        <v>2274</v>
      </c>
      <c r="J21" s="18"/>
      <c r="K21" s="18">
        <f>'Reins - Life operations Qtr'!K19</f>
        <v>1083</v>
      </c>
      <c r="L21" s="112"/>
      <c r="M21" s="288">
        <f>(C21-K21)/K21</f>
        <v>1.0914127423822715</v>
      </c>
    </row>
    <row r="22" spans="3:13" ht="13.5">
      <c r="C22" s="18"/>
      <c r="D22" s="18"/>
      <c r="E22" s="18"/>
      <c r="F22" s="18"/>
      <c r="G22" s="18"/>
      <c r="H22" s="18"/>
      <c r="I22" s="18"/>
      <c r="J22" s="18"/>
      <c r="K22" s="18"/>
      <c r="L22" s="56"/>
      <c r="M22" s="135"/>
    </row>
    <row r="23" spans="1:13" ht="13.5">
      <c r="A23" s="1" t="s">
        <v>401</v>
      </c>
      <c r="C23" s="18">
        <f>'Reins - Life operations Qtr'!C21</f>
        <v>31548</v>
      </c>
      <c r="D23" s="18"/>
      <c r="E23" s="18">
        <f>G23+'Reins - Life operations Qtr'!E21</f>
        <v>91451</v>
      </c>
      <c r="F23" s="18"/>
      <c r="G23" s="18">
        <f>I23+'Reins - Life operations Qtr'!G21</f>
        <v>58606</v>
      </c>
      <c r="H23" s="18"/>
      <c r="I23" s="18">
        <f>K23+'Reins - Life operations Qtr'!I21</f>
        <v>32343</v>
      </c>
      <c r="J23" s="18"/>
      <c r="K23" s="18">
        <f>'Reins - Life operations Qtr'!K21</f>
        <v>15518</v>
      </c>
      <c r="L23" s="112"/>
      <c r="M23" s="288">
        <f>(C23-K23)/K23</f>
        <v>1.0329939425183658</v>
      </c>
    </row>
    <row r="24" spans="3:12" ht="13.5">
      <c r="C24" s="18"/>
      <c r="D24" s="18"/>
      <c r="E24" s="18"/>
      <c r="F24" s="18"/>
      <c r="G24" s="18"/>
      <c r="H24" s="18"/>
      <c r="I24" s="18"/>
      <c r="J24" s="18"/>
      <c r="K24" s="18"/>
      <c r="L24" s="56"/>
    </row>
    <row r="25" spans="1:13" ht="14.25" thickBot="1">
      <c r="A25" s="14" t="s">
        <v>294</v>
      </c>
      <c r="B25" s="14"/>
      <c r="C25" s="35">
        <f>'Reins - Life operations Qtr'!C23</f>
        <v>-4905</v>
      </c>
      <c r="D25" s="29"/>
      <c r="E25" s="35">
        <f>G25+'Reins - Life operations Qtr'!E23</f>
        <v>25176</v>
      </c>
      <c r="F25" s="29"/>
      <c r="G25" s="35">
        <f>I25+'Reins - Life operations Qtr'!G23</f>
        <v>15027</v>
      </c>
      <c r="H25" s="29"/>
      <c r="I25" s="35">
        <f>K25+'Reins - Life operations Qtr'!I23</f>
        <v>11311</v>
      </c>
      <c r="J25" s="29"/>
      <c r="K25" s="35">
        <f>'Reins - Life operations Qtr'!K23</f>
        <v>5272</v>
      </c>
      <c r="L25" s="17"/>
      <c r="M25" s="290">
        <f>(C25-K25)/K25</f>
        <v>-1.9303869499241275</v>
      </c>
    </row>
    <row r="26" ht="14.25" thickTop="1">
      <c r="L26" s="56"/>
    </row>
    <row r="27" ht="13.5">
      <c r="L27" s="56"/>
    </row>
    <row r="28" ht="13.5">
      <c r="A28" s="14" t="s">
        <v>315</v>
      </c>
    </row>
    <row r="29" spans="1:11" ht="13.5">
      <c r="A29" s="332" t="s">
        <v>186</v>
      </c>
      <c r="B29" s="332"/>
      <c r="C29" s="332"/>
      <c r="D29" s="332"/>
      <c r="E29" s="332"/>
      <c r="F29" s="332"/>
      <c r="G29" s="332"/>
      <c r="H29" s="332"/>
      <c r="I29" s="332"/>
      <c r="J29" s="332"/>
      <c r="K29" s="332"/>
    </row>
    <row r="30" spans="1:11" ht="13.5">
      <c r="A30" s="332"/>
      <c r="B30" s="332"/>
      <c r="C30" s="332"/>
      <c r="D30" s="332"/>
      <c r="E30" s="332"/>
      <c r="F30" s="332"/>
      <c r="G30" s="332"/>
      <c r="H30" s="332"/>
      <c r="I30" s="332"/>
      <c r="J30" s="332"/>
      <c r="K30" s="332"/>
    </row>
  </sheetData>
  <mergeCells count="1">
    <mergeCell ref="A29:K30"/>
  </mergeCells>
  <printOptions horizontalCentered="1" verticalCentered="1"/>
  <pageMargins left="0.41" right="0.5" top="1" bottom="3.32" header="0.5" footer="0.5"/>
  <pageSetup horizontalDpi="600" verticalDpi="600" orientation="landscape" scale="56" r:id="rId2"/>
  <headerFooter alignWithMargins="0">
    <oddHeader>&amp;L&amp;G&amp;C&amp;"Optima,Bold"&amp;18REINSURANCE SEGMENT - LIFE OPERATIONS
&amp;"Optima,Regular"&amp;12(U.S. dollars in thousands)
(Unaudited)</oddHeader>
    <oddFooter>&amp;C&amp;"Optima,Regular"21</oddFooter>
  </headerFooter>
  <legacyDrawingHF r:id="rId1"/>
</worksheet>
</file>

<file path=xl/worksheets/sheet3.xml><?xml version="1.0" encoding="utf-8"?>
<worksheet xmlns="http://schemas.openxmlformats.org/spreadsheetml/2006/main" xmlns:r="http://schemas.openxmlformats.org/officeDocument/2006/relationships">
  <sheetPr codeName="Sheet5"/>
  <dimension ref="A2:I36"/>
  <sheetViews>
    <sheetView workbookViewId="0" topLeftCell="A1">
      <pane xSplit="2" ySplit="5" topLeftCell="C6" activePane="bottomRight" state="frozen"/>
      <selection pane="topLeft" activeCell="L40" sqref="L40"/>
      <selection pane="topRight" activeCell="L40" sqref="L40"/>
      <selection pane="bottomLeft" activeCell="L40" sqref="L40"/>
      <selection pane="bottomRight" activeCell="L40" sqref="L40"/>
    </sheetView>
  </sheetViews>
  <sheetFormatPr defaultColWidth="9.140625" defaultRowHeight="12.75"/>
  <cols>
    <col min="1" max="1" width="9.140625" style="1" customWidth="1"/>
    <col min="2" max="2" width="41.57421875" style="1" customWidth="1"/>
    <col min="3" max="3" width="20.7109375" style="1" customWidth="1"/>
    <col min="4" max="4" width="3.8515625" style="1" customWidth="1"/>
    <col min="5" max="5" width="20.7109375" style="1" customWidth="1"/>
    <col min="6" max="6" width="4.00390625" style="1" customWidth="1"/>
    <col min="7" max="7" width="21.28125" style="1" hidden="1" customWidth="1"/>
    <col min="8" max="8" width="3.57421875" style="1" hidden="1" customWidth="1"/>
    <col min="9" max="9" width="21.7109375" style="1" hidden="1" customWidth="1"/>
    <col min="10" max="16384" width="9.140625" style="1" customWidth="1"/>
  </cols>
  <sheetData>
    <row r="2" spans="3:9" ht="15.75">
      <c r="C2" s="12" t="s">
        <v>307</v>
      </c>
      <c r="D2" s="12"/>
      <c r="E2" s="12" t="s">
        <v>307</v>
      </c>
      <c r="G2" s="12" t="s">
        <v>548</v>
      </c>
      <c r="H2" s="12"/>
      <c r="I2" s="12" t="s">
        <v>548</v>
      </c>
    </row>
    <row r="3" spans="3:9" ht="15.75">
      <c r="C3" s="74" t="s">
        <v>27</v>
      </c>
      <c r="D3" s="74"/>
      <c r="E3" s="74" t="s">
        <v>310</v>
      </c>
      <c r="F3" s="56"/>
      <c r="G3" s="74" t="s">
        <v>27</v>
      </c>
      <c r="H3" s="74"/>
      <c r="I3" s="74" t="s">
        <v>310</v>
      </c>
    </row>
    <row r="4" spans="3:9" ht="15" customHeight="1">
      <c r="C4" s="130"/>
      <c r="D4" s="74"/>
      <c r="E4" s="130" t="s">
        <v>496</v>
      </c>
      <c r="F4" s="56"/>
      <c r="G4" s="130"/>
      <c r="H4" s="74"/>
      <c r="I4" s="130" t="s">
        <v>29</v>
      </c>
    </row>
    <row r="5" spans="4:8" ht="13.5">
      <c r="D5" s="56"/>
      <c r="F5" s="56"/>
      <c r="H5" s="56"/>
    </row>
    <row r="6" spans="1:9" ht="15">
      <c r="A6" s="2" t="s">
        <v>404</v>
      </c>
      <c r="B6" s="2"/>
      <c r="C6" s="15">
        <f>'Inc Stmt Qtr 03'!C6/1000</f>
        <v>3147.139</v>
      </c>
      <c r="D6" s="48"/>
      <c r="E6" s="15">
        <f>'Inc Stmt Qtr 03'!K6/1000</f>
        <v>2804.676</v>
      </c>
      <c r="G6" s="50">
        <f>'Income Stmt YTD 02'!C6/1000</f>
        <v>0</v>
      </c>
      <c r="I6" s="50">
        <f>'Income Stmt YTD 02'!E6/1000</f>
        <v>0</v>
      </c>
    </row>
    <row r="7" spans="1:9" ht="15">
      <c r="A7" s="2" t="s">
        <v>405</v>
      </c>
      <c r="B7" s="2"/>
      <c r="C7" s="52">
        <f>'Inc Stmt Qtr 03'!C7/1000</f>
        <v>2489.084</v>
      </c>
      <c r="D7" s="51"/>
      <c r="E7" s="52">
        <f>'Inc Stmt Qtr 03'!K7/1000</f>
        <v>2158.853</v>
      </c>
      <c r="G7" s="52">
        <f>'Income Stmt YTD 02'!C7/1000</f>
        <v>0</v>
      </c>
      <c r="I7" s="52">
        <f>'Income Stmt YTD 02'!E7/1000</f>
        <v>0</v>
      </c>
    </row>
    <row r="8" spans="1:9" ht="15">
      <c r="A8" s="2" t="s">
        <v>406</v>
      </c>
      <c r="B8" s="2"/>
      <c r="C8" s="52">
        <f>('Inc Stmt Qtr 03'!C9+'Inc Stmt Qtr 03'!C10)/1000</f>
        <v>1551.631</v>
      </c>
      <c r="D8" s="51"/>
      <c r="E8" s="52">
        <f>('Inc Stmt Qtr 03'!K9+'Inc Stmt Qtr 03'!K10)/1000</f>
        <v>1064.715</v>
      </c>
      <c r="G8" s="52">
        <f>('Income Stmt YTD 02'!C9+'Income Stmt YTD 02'!C10)/1000</f>
        <v>0</v>
      </c>
      <c r="I8" s="52">
        <f>('Income Stmt YTD 02'!E9+'Income Stmt YTD 02'!E10)/1000</f>
        <v>0</v>
      </c>
    </row>
    <row r="9" spans="1:9" ht="15">
      <c r="A9" s="2"/>
      <c r="B9" s="2"/>
      <c r="C9" s="49"/>
      <c r="D9" s="49"/>
      <c r="E9" s="49"/>
      <c r="G9" s="49"/>
      <c r="I9" s="49"/>
    </row>
    <row r="10" spans="1:9" ht="15">
      <c r="A10" s="2" t="s">
        <v>103</v>
      </c>
      <c r="B10" s="2"/>
      <c r="C10" s="49"/>
      <c r="D10" s="49"/>
      <c r="E10" s="49"/>
      <c r="G10" s="49"/>
      <c r="I10" s="49"/>
    </row>
    <row r="11" spans="1:9" ht="15">
      <c r="A11" s="333" t="s">
        <v>520</v>
      </c>
      <c r="B11" s="333"/>
      <c r="C11" s="52">
        <f>'Inc Stmt Qtr 03'!C38/1000</f>
        <v>239.857</v>
      </c>
      <c r="D11" s="51"/>
      <c r="E11" s="52">
        <f>'Inc Stmt Qtr 03'!K38/1000</f>
        <v>89.493</v>
      </c>
      <c r="G11" s="52">
        <f>'Income Stmt YTD 02'!C38/1000</f>
        <v>0</v>
      </c>
      <c r="I11" s="52">
        <f>'Income Stmt YTD 02'!E38/1000</f>
        <v>0</v>
      </c>
    </row>
    <row r="12" spans="1:9" ht="15">
      <c r="A12" s="2"/>
      <c r="B12" s="2"/>
      <c r="C12" s="51"/>
      <c r="D12" s="51"/>
      <c r="E12" s="51"/>
      <c r="G12" s="51"/>
      <c r="I12" s="51"/>
    </row>
    <row r="13" spans="1:9" ht="15">
      <c r="A13" s="73" t="s">
        <v>407</v>
      </c>
      <c r="B13" s="73"/>
      <c r="C13" s="2"/>
      <c r="D13" s="2"/>
      <c r="E13" s="2"/>
      <c r="G13" s="2"/>
      <c r="I13" s="2"/>
    </row>
    <row r="14" spans="1:9" ht="15">
      <c r="A14" s="2"/>
      <c r="B14" s="2"/>
      <c r="C14" s="2"/>
      <c r="D14" s="2"/>
      <c r="E14" s="2"/>
      <c r="G14" s="2"/>
      <c r="I14" s="2"/>
    </row>
    <row r="15" spans="1:9" ht="15">
      <c r="A15" s="2" t="s">
        <v>104</v>
      </c>
      <c r="B15" s="2"/>
      <c r="C15" s="2"/>
      <c r="D15" s="2"/>
      <c r="E15" s="2"/>
      <c r="G15" s="2"/>
      <c r="I15" s="2"/>
    </row>
    <row r="16" spans="1:9" ht="15">
      <c r="A16" s="334" t="s">
        <v>520</v>
      </c>
      <c r="B16" s="334"/>
      <c r="C16" s="54">
        <f>EPS!C26</f>
        <v>1.742751858784793</v>
      </c>
      <c r="D16" s="54"/>
      <c r="E16" s="54">
        <f>EPS!K26</f>
        <v>0.6523266005269617</v>
      </c>
      <c r="G16" s="54" t="e">
        <f>EPS!M26</f>
        <v>#DIV/0!</v>
      </c>
      <c r="I16" s="54" t="e">
        <f>EPS!O26</f>
        <v>#DIV/0!</v>
      </c>
    </row>
    <row r="17" spans="1:9" ht="15">
      <c r="A17" s="2" t="s">
        <v>14</v>
      </c>
      <c r="B17" s="2"/>
      <c r="C17" s="55">
        <v>0.48</v>
      </c>
      <c r="D17" s="55"/>
      <c r="E17" s="55">
        <v>0.47</v>
      </c>
      <c r="G17" s="55"/>
      <c r="I17" s="55">
        <v>0.47</v>
      </c>
    </row>
    <row r="18" spans="1:9" ht="15">
      <c r="A18" s="2"/>
      <c r="B18" s="2"/>
      <c r="C18" s="2"/>
      <c r="D18" s="2"/>
      <c r="E18" s="2"/>
      <c r="G18" s="2"/>
      <c r="I18" s="2"/>
    </row>
    <row r="19" spans="1:9" ht="15">
      <c r="A19" s="73" t="s">
        <v>521</v>
      </c>
      <c r="B19" s="73"/>
      <c r="C19" s="2"/>
      <c r="D19" s="2"/>
      <c r="E19" s="2"/>
      <c r="G19" s="2"/>
      <c r="I19" s="2"/>
    </row>
    <row r="20" spans="1:9" ht="15">
      <c r="A20" s="2"/>
      <c r="B20" s="2"/>
      <c r="C20" s="2"/>
      <c r="D20" s="2"/>
      <c r="E20" s="2"/>
      <c r="G20" s="2"/>
      <c r="I20" s="2"/>
    </row>
    <row r="21" spans="1:9" ht="15">
      <c r="A21" s="2" t="s">
        <v>408</v>
      </c>
      <c r="B21" s="2"/>
      <c r="C21" s="16">
        <v>136215995</v>
      </c>
      <c r="D21" s="16"/>
      <c r="E21" s="16">
        <v>135119139</v>
      </c>
      <c r="G21" s="16"/>
      <c r="I21" s="16"/>
    </row>
    <row r="22" spans="1:9" ht="15">
      <c r="A22" s="2" t="s">
        <v>544</v>
      </c>
      <c r="B22" s="2"/>
      <c r="C22" s="16">
        <v>137631183</v>
      </c>
      <c r="D22" s="16"/>
      <c r="E22" s="16">
        <v>137843313</v>
      </c>
      <c r="G22" s="16"/>
      <c r="I22" s="16"/>
    </row>
    <row r="23" spans="1:9" ht="15">
      <c r="A23" s="2"/>
      <c r="B23" s="2"/>
      <c r="C23" s="2"/>
      <c r="D23" s="2"/>
      <c r="E23" s="2"/>
      <c r="G23" s="2"/>
      <c r="I23" s="2"/>
    </row>
    <row r="24" spans="1:9" ht="15">
      <c r="A24" s="73" t="s">
        <v>462</v>
      </c>
      <c r="B24" s="2"/>
      <c r="C24" s="2"/>
      <c r="D24" s="2"/>
      <c r="E24" s="2"/>
      <c r="G24" s="2"/>
      <c r="I24" s="2"/>
    </row>
    <row r="25" spans="1:9" ht="15">
      <c r="A25" s="2"/>
      <c r="B25" s="2"/>
      <c r="C25" s="2"/>
      <c r="D25" s="2"/>
      <c r="E25" s="2"/>
      <c r="G25" s="2"/>
      <c r="I25" s="2"/>
    </row>
    <row r="26" spans="1:9" ht="15">
      <c r="A26" s="2" t="s">
        <v>343</v>
      </c>
      <c r="B26" s="2"/>
      <c r="C26" s="100">
        <f>'Segment info. Q1.03'!G45</f>
        <v>0.6088406417545519</v>
      </c>
      <c r="D26" s="100"/>
      <c r="E26" s="100">
        <f>'Segment info. Q1.02'!G45</f>
        <v>0.6322831187535115</v>
      </c>
      <c r="F26" s="100"/>
      <c r="G26" s="100" t="e">
        <f>'Segment info. YTD 03'!G45</f>
        <v>#DIV/0!</v>
      </c>
      <c r="H26" s="100"/>
      <c r="I26" s="100" t="e">
        <f>'Segment info. YTD 01'!G44</f>
        <v>#DIV/0!</v>
      </c>
    </row>
    <row r="27" spans="1:9" ht="15">
      <c r="A27" s="2" t="s">
        <v>483</v>
      </c>
      <c r="B27" s="2"/>
      <c r="C27" s="100">
        <f>'Segment info. Q1.03'!G46</f>
        <v>0.2516421428506579</v>
      </c>
      <c r="D27" s="100"/>
      <c r="E27" s="100">
        <f>'Segment info. Q1.02'!G46</f>
        <v>0.28867184718012834</v>
      </c>
      <c r="F27" s="100"/>
      <c r="G27" s="100" t="e">
        <f>'Segment info. YTD 03'!G46</f>
        <v>#DIV/0!</v>
      </c>
      <c r="H27" s="100"/>
      <c r="I27" s="100" t="e">
        <f>'Segment info. YTD 01'!G45</f>
        <v>#DIV/0!</v>
      </c>
    </row>
    <row r="28" spans="1:9" ht="15.75" thickBot="1">
      <c r="A28" s="2" t="s">
        <v>346</v>
      </c>
      <c r="C28" s="109">
        <f>'Segment info. Q1.03'!G47</f>
        <v>0.8614827846052098</v>
      </c>
      <c r="D28" s="100"/>
      <c r="E28" s="109">
        <f>'Segment info. Q1.02'!G47</f>
        <v>0.9209549659336398</v>
      </c>
      <c r="F28" s="100"/>
      <c r="G28" s="109" t="e">
        <f>SUM(G26:G27)+0.001</f>
        <v>#DIV/0!</v>
      </c>
      <c r="H28" s="100"/>
      <c r="I28" s="109" t="e">
        <f>'Segment info. YTD 01'!G46</f>
        <v>#DIV/0!</v>
      </c>
    </row>
    <row r="29" spans="1:5" ht="16.5" thickTop="1">
      <c r="A29" s="2"/>
      <c r="C29" s="7"/>
      <c r="D29" s="7"/>
      <c r="E29" s="7"/>
    </row>
    <row r="30" spans="1:5" ht="15.75">
      <c r="A30" s="2"/>
      <c r="C30" s="7"/>
      <c r="D30" s="7"/>
      <c r="E30" s="7"/>
    </row>
    <row r="31" ht="13.5">
      <c r="A31" s="60" t="s">
        <v>315</v>
      </c>
    </row>
    <row r="32" ht="8.25" customHeight="1"/>
    <row r="33" spans="1:9" ht="13.5">
      <c r="A33" s="332" t="s">
        <v>16</v>
      </c>
      <c r="B33" s="332"/>
      <c r="C33" s="332"/>
      <c r="D33" s="332"/>
      <c r="E33" s="332"/>
      <c r="F33" s="332"/>
      <c r="G33" s="332"/>
      <c r="H33" s="332"/>
      <c r="I33" s="332"/>
    </row>
    <row r="34" spans="1:9" ht="13.5">
      <c r="A34" s="332"/>
      <c r="B34" s="332"/>
      <c r="C34" s="332"/>
      <c r="D34" s="332"/>
      <c r="E34" s="332"/>
      <c r="F34" s="332"/>
      <c r="G34" s="332"/>
      <c r="H34" s="332"/>
      <c r="I34" s="332"/>
    </row>
    <row r="35" spans="3:5" ht="15.75">
      <c r="C35" s="7"/>
      <c r="D35" s="7"/>
      <c r="E35" s="7"/>
    </row>
    <row r="36" spans="3:5" ht="15.75">
      <c r="C36" s="7"/>
      <c r="D36" s="7"/>
      <c r="E36" s="7"/>
    </row>
  </sheetData>
  <mergeCells count="3">
    <mergeCell ref="A33:I34"/>
    <mergeCell ref="A11:B11"/>
    <mergeCell ref="A16:B16"/>
  </mergeCells>
  <printOptions horizontalCentered="1" verticalCentered="1"/>
  <pageMargins left="0.75" right="0.75" top="1" bottom="0.75" header="0.5" footer="0.5"/>
  <pageSetup horizontalDpi="600" verticalDpi="600" orientation="landscape" scale="70" r:id="rId2"/>
  <headerFooter alignWithMargins="0">
    <oddHeader>&amp;L&amp;G&amp;C&amp;"Optima,Bold"&amp;18FINANCIAL HIGHLIGHTS - INCOME STATEMENTS
&amp;"Optima,Regular"&amp;12(U.S. dollars in millions, except share and per share amounts)
(Unaudited)</oddHeader>
    <oddFooter>&amp;C&amp;"Optima,Regular"2</oddFooter>
  </headerFooter>
  <legacyDrawingHF r:id="rId1"/>
</worksheet>
</file>

<file path=xl/worksheets/sheet30.xml><?xml version="1.0" encoding="utf-8"?>
<worksheet xmlns="http://schemas.openxmlformats.org/spreadsheetml/2006/main" xmlns:r="http://schemas.openxmlformats.org/officeDocument/2006/relationships">
  <sheetPr codeName="Sheet26"/>
  <dimension ref="A4:T38"/>
  <sheetViews>
    <sheetView workbookViewId="0" topLeftCell="A4">
      <selection activeCell="A27" sqref="A27:IV27"/>
    </sheetView>
  </sheetViews>
  <sheetFormatPr defaultColWidth="9.140625" defaultRowHeight="12.75"/>
  <cols>
    <col min="1" max="1" width="24.28125" style="1" customWidth="1"/>
    <col min="2" max="2" width="3.28125" style="1" customWidth="1"/>
    <col min="3" max="3" width="16.7109375" style="1" customWidth="1"/>
    <col min="4" max="4" width="5.57421875" style="1" customWidth="1"/>
    <col min="5" max="5" width="16.7109375" style="1" customWidth="1"/>
    <col min="6" max="6" width="5.57421875" style="1" customWidth="1"/>
    <col min="7" max="7" width="16.7109375" style="1" customWidth="1"/>
    <col min="8" max="8" width="3.421875" style="1" customWidth="1"/>
    <col min="9" max="9" width="16.7109375" style="1" customWidth="1"/>
    <col min="10" max="10" width="3.421875" style="1" customWidth="1"/>
    <col min="11" max="11" width="16.7109375" style="1" customWidth="1"/>
    <col min="12" max="12" width="3.7109375" style="1" customWidth="1"/>
    <col min="13" max="13" width="19.8515625" style="1" bestFit="1" customWidth="1"/>
    <col min="14" max="14" width="18.8515625" style="1" customWidth="1"/>
    <col min="15" max="16384" width="9.140625" style="1" customWidth="1"/>
  </cols>
  <sheetData>
    <row r="4" spans="3:13" ht="15.75">
      <c r="C4" s="12" t="s">
        <v>302</v>
      </c>
      <c r="E4" s="12" t="s">
        <v>303</v>
      </c>
      <c r="G4" s="12" t="s">
        <v>304</v>
      </c>
      <c r="I4" s="12" t="s">
        <v>301</v>
      </c>
      <c r="K4" s="12" t="s">
        <v>302</v>
      </c>
      <c r="L4" s="12"/>
      <c r="M4" s="12" t="s">
        <v>305</v>
      </c>
    </row>
    <row r="5" spans="3:20" ht="15.75">
      <c r="C5" s="199" t="s">
        <v>310</v>
      </c>
      <c r="D5" s="101"/>
      <c r="E5" s="111" t="s">
        <v>547</v>
      </c>
      <c r="F5" s="101"/>
      <c r="G5" s="111" t="s">
        <v>500</v>
      </c>
      <c r="H5" s="101"/>
      <c r="I5" s="111" t="s">
        <v>402</v>
      </c>
      <c r="J5" s="101"/>
      <c r="K5" s="111" t="s">
        <v>310</v>
      </c>
      <c r="L5" s="111"/>
      <c r="M5" s="111" t="s">
        <v>121</v>
      </c>
      <c r="N5" s="56"/>
      <c r="O5" s="56"/>
      <c r="P5" s="56"/>
      <c r="Q5" s="56"/>
      <c r="R5" s="56"/>
      <c r="S5" s="56"/>
      <c r="T5" s="56"/>
    </row>
    <row r="7" spans="1:13" ht="13.5">
      <c r="A7" s="1" t="s">
        <v>404</v>
      </c>
      <c r="C7" s="26">
        <f>'Financial products Qtr'!C5</f>
        <v>44766</v>
      </c>
      <c r="D7" s="26"/>
      <c r="E7" s="26">
        <f>G7+'Financial products Qtr'!E5</f>
        <v>199913</v>
      </c>
      <c r="F7" s="26"/>
      <c r="G7" s="26">
        <f>I7+'Financial products Qtr'!G5</f>
        <v>145001</v>
      </c>
      <c r="H7" s="26"/>
      <c r="I7" s="26">
        <f>K7+'Financial products Qtr'!I5</f>
        <v>102121</v>
      </c>
      <c r="J7" s="26"/>
      <c r="K7" s="26">
        <f>'Financial products Qtr'!K5</f>
        <v>26273</v>
      </c>
      <c r="L7" s="26"/>
      <c r="M7" s="288">
        <f>(C7-K7)/K7</f>
        <v>0.7038785064514901</v>
      </c>
    </row>
    <row r="8" spans="3:13" ht="13.5">
      <c r="C8" s="26"/>
      <c r="E8" s="26"/>
      <c r="G8" s="26"/>
      <c r="I8" s="26"/>
      <c r="K8" s="26"/>
      <c r="L8" s="26"/>
      <c r="M8" s="32"/>
    </row>
    <row r="9" spans="1:13" ht="13.5">
      <c r="A9" s="1" t="s">
        <v>405</v>
      </c>
      <c r="C9" s="26">
        <f>'Financial products Qtr'!C7</f>
        <v>43996</v>
      </c>
      <c r="D9" s="26"/>
      <c r="E9" s="26">
        <f>G9+'Financial products Qtr'!E7</f>
        <v>177794</v>
      </c>
      <c r="F9" s="26"/>
      <c r="G9" s="26">
        <f>I9+'Financial products Qtr'!G7</f>
        <v>123301</v>
      </c>
      <c r="H9" s="26"/>
      <c r="I9" s="26">
        <f>K9+'Financial products Qtr'!I7</f>
        <v>97096</v>
      </c>
      <c r="J9" s="26"/>
      <c r="K9" s="26">
        <f>'Financial products Qtr'!K7</f>
        <v>23662</v>
      </c>
      <c r="L9" s="18"/>
      <c r="M9" s="288">
        <f>(C9-K9)/K9</f>
        <v>0.8593525483898233</v>
      </c>
    </row>
    <row r="10" spans="3:13" ht="13.5">
      <c r="C10" s="26"/>
      <c r="D10" s="26"/>
      <c r="E10" s="26"/>
      <c r="F10" s="26"/>
      <c r="G10" s="26"/>
      <c r="H10" s="26"/>
      <c r="I10" s="26"/>
      <c r="J10" s="26"/>
      <c r="K10" s="26"/>
      <c r="L10" s="18"/>
      <c r="M10" s="32"/>
    </row>
    <row r="11" spans="3:13" ht="13.5">
      <c r="C11" s="26"/>
      <c r="D11" s="26"/>
      <c r="E11" s="26"/>
      <c r="F11" s="26"/>
      <c r="G11" s="26"/>
      <c r="H11" s="26"/>
      <c r="I11" s="26"/>
      <c r="J11" s="26"/>
      <c r="K11" s="26"/>
      <c r="L11" s="18"/>
      <c r="M11" s="32"/>
    </row>
    <row r="12" spans="1:13" ht="13.5">
      <c r="A12" s="1" t="s">
        <v>406</v>
      </c>
      <c r="C12" s="26">
        <f>'Financial products Qtr'!C10</f>
        <v>26973</v>
      </c>
      <c r="D12" s="26"/>
      <c r="E12" s="26">
        <f>G12+'Financial products Qtr'!E10</f>
        <v>67745</v>
      </c>
      <c r="F12" s="26"/>
      <c r="G12" s="26">
        <f>I12+'Financial products Qtr'!G10</f>
        <v>42284</v>
      </c>
      <c r="H12" s="26"/>
      <c r="I12" s="26">
        <f>K12+'Financial products Qtr'!I10</f>
        <v>25367</v>
      </c>
      <c r="J12" s="26"/>
      <c r="K12" s="26">
        <f>'Financial products Qtr'!K10</f>
        <v>14554</v>
      </c>
      <c r="L12" s="18"/>
      <c r="M12" s="288">
        <f>(C12-K12)/K12</f>
        <v>0.8533049333516559</v>
      </c>
    </row>
    <row r="13" spans="3:13" ht="13.5">
      <c r="C13" s="18"/>
      <c r="D13" s="18"/>
      <c r="E13" s="18"/>
      <c r="F13" s="18"/>
      <c r="G13" s="18"/>
      <c r="H13" s="18"/>
      <c r="I13" s="18"/>
      <c r="J13" s="18"/>
      <c r="K13" s="18"/>
      <c r="L13" s="18"/>
      <c r="M13" s="32"/>
    </row>
    <row r="14" spans="1:13" ht="13.5">
      <c r="A14" s="1" t="s">
        <v>395</v>
      </c>
      <c r="C14" s="18">
        <f>'Financial products Qtr'!C12</f>
        <v>-1342</v>
      </c>
      <c r="D14" s="18"/>
      <c r="E14" s="18">
        <f>G14+'Financial products Qtr'!E12</f>
        <v>7043</v>
      </c>
      <c r="F14" s="18"/>
      <c r="G14" s="18">
        <f>I14+'Financial products Qtr'!G12</f>
        <v>2460</v>
      </c>
      <c r="H14" s="18"/>
      <c r="I14" s="18">
        <f>K14+'Financial products Qtr'!I12</f>
        <v>1570</v>
      </c>
      <c r="J14" s="18"/>
      <c r="K14" s="18">
        <f>'Financial products Qtr'!K12</f>
        <v>503</v>
      </c>
      <c r="L14" s="18"/>
      <c r="M14" s="288">
        <f>(C14-K14)/K14</f>
        <v>-3.667992047713718</v>
      </c>
    </row>
    <row r="15" spans="3:13" ht="13.5">
      <c r="C15" s="18"/>
      <c r="D15" s="18"/>
      <c r="E15" s="18"/>
      <c r="F15" s="18"/>
      <c r="G15" s="18"/>
      <c r="H15" s="18"/>
      <c r="I15" s="18"/>
      <c r="J15" s="18"/>
      <c r="K15" s="18"/>
      <c r="L15" s="18"/>
      <c r="M15" s="32"/>
    </row>
    <row r="16" spans="3:13" ht="13.5">
      <c r="C16" s="18"/>
      <c r="D16" s="18"/>
      <c r="E16" s="18"/>
      <c r="F16" s="18"/>
      <c r="G16" s="18"/>
      <c r="H16" s="18"/>
      <c r="I16" s="18"/>
      <c r="J16" s="18"/>
      <c r="K16" s="18"/>
      <c r="L16" s="18"/>
      <c r="M16" s="288"/>
    </row>
    <row r="17" spans="1:13" ht="13.5">
      <c r="A17" s="1" t="s">
        <v>336</v>
      </c>
      <c r="C17" s="18">
        <f>'Financial products Qtr'!C15</f>
        <v>13463</v>
      </c>
      <c r="D17" s="18"/>
      <c r="E17" s="18">
        <f>G17+'Financial products Qtr'!E15</f>
        <v>-1732</v>
      </c>
      <c r="F17" s="18"/>
      <c r="G17" s="18">
        <f>I17+'Financial products Qtr'!G15</f>
        <v>9032</v>
      </c>
      <c r="H17" s="18"/>
      <c r="I17" s="18">
        <f>K17+'Financial products Qtr'!I15</f>
        <v>3026</v>
      </c>
      <c r="J17" s="18"/>
      <c r="K17" s="18">
        <f>'Financial products Qtr'!K15</f>
        <v>3080</v>
      </c>
      <c r="L17" s="18"/>
      <c r="M17" s="288">
        <f>(C17-K17)/K17</f>
        <v>3.371103896103896</v>
      </c>
    </row>
    <row r="18" spans="3:13" ht="13.5">
      <c r="C18" s="18"/>
      <c r="D18" s="18"/>
      <c r="E18" s="18"/>
      <c r="F18" s="18"/>
      <c r="G18" s="18"/>
      <c r="H18" s="18"/>
      <c r="I18" s="18"/>
      <c r="J18" s="18"/>
      <c r="K18" s="18"/>
      <c r="L18" s="18"/>
      <c r="M18" s="32"/>
    </row>
    <row r="19" spans="1:13" ht="13.5">
      <c r="A19" s="1" t="s">
        <v>397</v>
      </c>
      <c r="C19" s="18">
        <f>'Financial products Qtr'!C17</f>
        <v>3203</v>
      </c>
      <c r="D19" s="18"/>
      <c r="E19" s="18">
        <f>G19+'Financial products Qtr'!E17</f>
        <v>9644</v>
      </c>
      <c r="F19" s="18"/>
      <c r="G19" s="18">
        <f>I19+'Financial products Qtr'!G17</f>
        <v>6020</v>
      </c>
      <c r="H19" s="18"/>
      <c r="I19" s="18">
        <f>K19+'Financial products Qtr'!I17</f>
        <v>6003</v>
      </c>
      <c r="J19" s="18"/>
      <c r="K19" s="18">
        <f>'Financial products Qtr'!K17</f>
        <v>958</v>
      </c>
      <c r="L19" s="18"/>
      <c r="M19" s="288">
        <f>(C19-K19)/K19</f>
        <v>2.3434237995824634</v>
      </c>
    </row>
    <row r="20" spans="3:13" ht="13.5">
      <c r="C20" s="18"/>
      <c r="D20" s="18"/>
      <c r="E20" s="18"/>
      <c r="F20" s="18"/>
      <c r="G20" s="18"/>
      <c r="H20" s="18"/>
      <c r="I20" s="18"/>
      <c r="J20" s="18"/>
      <c r="K20" s="18"/>
      <c r="L20" s="18"/>
      <c r="M20" s="32"/>
    </row>
    <row r="21" spans="1:13" ht="13.5">
      <c r="A21" s="1" t="s">
        <v>398</v>
      </c>
      <c r="C21" s="18">
        <f>'Financial products Qtr'!C19</f>
        <v>20157</v>
      </c>
      <c r="D21" s="18"/>
      <c r="E21" s="18">
        <f>G21+'Financial products Qtr'!E19</f>
        <v>61543</v>
      </c>
      <c r="F21" s="18"/>
      <c r="G21" s="18">
        <f>I21+'Financial products Qtr'!G19</f>
        <v>43871</v>
      </c>
      <c r="H21" s="18"/>
      <c r="I21" s="18">
        <f>K21+'Financial products Qtr'!I19</f>
        <v>27302</v>
      </c>
      <c r="J21" s="18"/>
      <c r="K21" s="18">
        <f>'Financial products Qtr'!K19</f>
        <v>14990</v>
      </c>
      <c r="L21" s="18"/>
      <c r="M21" s="288">
        <f>(C21-K21)/K21</f>
        <v>0.3446964643095397</v>
      </c>
    </row>
    <row r="22" spans="3:13" ht="13.5">
      <c r="C22" s="18"/>
      <c r="D22" s="18"/>
      <c r="E22" s="18"/>
      <c r="F22" s="18"/>
      <c r="G22" s="18"/>
      <c r="H22" s="18"/>
      <c r="I22" s="18"/>
      <c r="J22" s="18"/>
      <c r="K22" s="18"/>
      <c r="L22" s="18"/>
      <c r="M22" s="135"/>
    </row>
    <row r="23" spans="1:13" ht="13.5">
      <c r="A23" s="1" t="s">
        <v>485</v>
      </c>
      <c r="C23" s="18">
        <f>'Financial products Qtr'!C21</f>
        <v>0</v>
      </c>
      <c r="D23" s="18"/>
      <c r="E23" s="18">
        <f>G23+'Financial products Qtr'!E21</f>
        <v>8</v>
      </c>
      <c r="F23" s="18"/>
      <c r="G23" s="18">
        <f>I23+'Financial products Qtr'!G21</f>
        <v>0</v>
      </c>
      <c r="H23" s="18"/>
      <c r="I23" s="18">
        <f>K23+'Financial products Qtr'!I21</f>
        <v>0</v>
      </c>
      <c r="J23" s="18"/>
      <c r="K23" s="18">
        <f>'Financial products Qtr'!K21</f>
        <v>0</v>
      </c>
      <c r="L23" s="18"/>
      <c r="M23" s="135" t="s">
        <v>80</v>
      </c>
    </row>
    <row r="24" spans="3:12" ht="13.5">
      <c r="C24" s="18"/>
      <c r="E24" s="18"/>
      <c r="G24" s="18"/>
      <c r="I24" s="18"/>
      <c r="K24" s="18"/>
      <c r="L24" s="18"/>
    </row>
    <row r="25" spans="1:13" ht="14.25" thickBot="1">
      <c r="A25" s="14" t="s">
        <v>342</v>
      </c>
      <c r="B25" s="14"/>
      <c r="C25" s="35">
        <f>'Financial products Qtr'!C23</f>
        <v>-11192</v>
      </c>
      <c r="D25" s="35"/>
      <c r="E25" s="35">
        <f>G25+'Financial products Qtr'!E23</f>
        <v>5325</v>
      </c>
      <c r="F25" s="35"/>
      <c r="G25" s="35">
        <f>I25+'Financial products Qtr'!G23</f>
        <v>-14179</v>
      </c>
      <c r="H25" s="35"/>
      <c r="I25" s="35">
        <f>K25+'Financial products Qtr'!I23</f>
        <v>-9394</v>
      </c>
      <c r="J25" s="35"/>
      <c r="K25" s="35">
        <f>'Financial products Qtr'!K23</f>
        <v>-3971</v>
      </c>
      <c r="L25" s="84"/>
      <c r="M25" s="290">
        <f>(C25-K25)/K25</f>
        <v>1.8184336439184086</v>
      </c>
    </row>
    <row r="26" ht="14.25" thickTop="1"/>
    <row r="28" ht="13.5">
      <c r="A28" s="14" t="s">
        <v>315</v>
      </c>
    </row>
    <row r="29" spans="1:13" ht="13.5" customHeight="1">
      <c r="A29" s="332" t="s">
        <v>16</v>
      </c>
      <c r="B29" s="332"/>
      <c r="C29" s="332"/>
      <c r="D29" s="332"/>
      <c r="E29" s="332"/>
      <c r="F29" s="332"/>
      <c r="G29" s="332"/>
      <c r="H29" s="332"/>
      <c r="I29" s="332"/>
      <c r="J29" s="332"/>
      <c r="K29" s="332"/>
      <c r="L29" s="332"/>
      <c r="M29" s="332"/>
    </row>
    <row r="30" spans="1:13" ht="15.75" customHeight="1">
      <c r="A30" s="332"/>
      <c r="B30" s="332"/>
      <c r="C30" s="332"/>
      <c r="D30" s="332"/>
      <c r="E30" s="332"/>
      <c r="F30" s="332"/>
      <c r="G30" s="332"/>
      <c r="H30" s="332"/>
      <c r="I30" s="332"/>
      <c r="J30" s="332"/>
      <c r="K30" s="332"/>
      <c r="L30" s="332"/>
      <c r="M30" s="332"/>
    </row>
    <row r="31" spans="3:9" ht="15.75">
      <c r="C31" s="111"/>
      <c r="E31" s="111"/>
      <c r="G31" s="111"/>
      <c r="I31" s="111"/>
    </row>
    <row r="32" spans="3:11" ht="13.5">
      <c r="C32" s="26"/>
      <c r="E32" s="26"/>
      <c r="G32" s="26"/>
      <c r="I32" s="26"/>
      <c r="K32" s="26"/>
    </row>
    <row r="33" spans="3:11" ht="13.5">
      <c r="C33" s="26"/>
      <c r="E33" s="26"/>
      <c r="G33" s="26"/>
      <c r="I33" s="26"/>
      <c r="K33" s="26"/>
    </row>
    <row r="34" spans="3:11" ht="13.5">
      <c r="C34" s="26"/>
      <c r="E34" s="26"/>
      <c r="G34" s="26"/>
      <c r="I34" s="26"/>
      <c r="K34" s="26"/>
    </row>
    <row r="35" spans="3:11" ht="13.5">
      <c r="C35" s="26"/>
      <c r="E35" s="26"/>
      <c r="G35" s="26"/>
      <c r="I35" s="26"/>
      <c r="K35" s="26"/>
    </row>
    <row r="36" ht="13.5">
      <c r="A36" s="14"/>
    </row>
    <row r="37" spans="1:13" ht="13.5">
      <c r="A37" s="342"/>
      <c r="B37" s="342"/>
      <c r="C37" s="342"/>
      <c r="D37" s="342"/>
      <c r="E37" s="342"/>
      <c r="F37" s="342"/>
      <c r="G37" s="342"/>
      <c r="H37" s="342"/>
      <c r="I37" s="342"/>
      <c r="J37" s="342"/>
      <c r="K37" s="342"/>
      <c r="L37" s="342"/>
      <c r="M37" s="342"/>
    </row>
    <row r="38" spans="1:13" ht="13.5">
      <c r="A38" s="342"/>
      <c r="B38" s="342"/>
      <c r="C38" s="342"/>
      <c r="D38" s="342"/>
      <c r="E38" s="342"/>
      <c r="F38" s="342"/>
      <c r="G38" s="342"/>
      <c r="H38" s="342"/>
      <c r="I38" s="342"/>
      <c r="J38" s="342"/>
      <c r="K38" s="342"/>
      <c r="L38" s="342"/>
      <c r="M38" s="342"/>
    </row>
  </sheetData>
  <mergeCells count="2">
    <mergeCell ref="A37:M38"/>
    <mergeCell ref="A29:M30"/>
  </mergeCells>
  <printOptions horizontalCentered="1" verticalCentered="1"/>
  <pageMargins left="0.5" right="0.5" top="1" bottom="2.3" header="0.5" footer="0.5"/>
  <pageSetup horizontalDpi="300" verticalDpi="300" orientation="landscape" scale="56" r:id="rId2"/>
  <headerFooter alignWithMargins="0">
    <oddHeader>&amp;L&amp;G&amp;C&amp;"Optima,Bold"&amp;18FINANCIAL PRODUCTS AND SERVICES SEGMENT - GENERAL OPERATIONS
&amp;"Optima,Regular"&amp;12(U.S. dollars in thousands)
(Unaudited)</oddHeader>
    <oddFooter>&amp;C&amp;"Optima,Regular"22</oddFooter>
  </headerFooter>
  <legacyDrawingHF r:id="rId1"/>
</worksheet>
</file>

<file path=xl/worksheets/sheet31.xml><?xml version="1.0" encoding="utf-8"?>
<worksheet xmlns="http://schemas.openxmlformats.org/spreadsheetml/2006/main" xmlns:r="http://schemas.openxmlformats.org/officeDocument/2006/relationships">
  <sheetPr codeName="Sheet36"/>
  <dimension ref="A4:N29"/>
  <sheetViews>
    <sheetView workbookViewId="0" topLeftCell="A1">
      <selection activeCell="A18" sqref="A18"/>
    </sheetView>
  </sheetViews>
  <sheetFormatPr defaultColWidth="9.140625" defaultRowHeight="12.75"/>
  <cols>
    <col min="1" max="1" width="33.00390625" style="1" customWidth="1"/>
    <col min="2" max="2" width="3.00390625" style="1" customWidth="1"/>
    <col min="3" max="3" width="16.7109375" style="1" customWidth="1"/>
    <col min="4" max="4" width="4.8515625" style="1" customWidth="1"/>
    <col min="5" max="5" width="16.7109375" style="1" customWidth="1"/>
    <col min="6" max="6" width="4.8515625" style="1" customWidth="1"/>
    <col min="7" max="7" width="16.7109375" style="1" customWidth="1"/>
    <col min="8" max="8" width="4.00390625" style="1" customWidth="1"/>
    <col min="9" max="9" width="16.7109375" style="1" customWidth="1"/>
    <col min="10" max="10" width="4.00390625" style="1" customWidth="1"/>
    <col min="11" max="11" width="16.7109375" style="1" customWidth="1"/>
    <col min="12" max="12" width="3.28125" style="1" customWidth="1"/>
    <col min="13" max="13" width="19.8515625" style="1" bestFit="1" customWidth="1"/>
    <col min="14" max="16384" width="9.140625" style="1" customWidth="1"/>
  </cols>
  <sheetData>
    <row r="4" spans="3:13" ht="15.75">
      <c r="C4" s="12" t="s">
        <v>302</v>
      </c>
      <c r="E4" s="12" t="s">
        <v>303</v>
      </c>
      <c r="G4" s="12" t="s">
        <v>304</v>
      </c>
      <c r="I4" s="12" t="s">
        <v>301</v>
      </c>
      <c r="K4" s="12" t="s">
        <v>302</v>
      </c>
      <c r="L4" s="12"/>
      <c r="M4" s="12" t="s">
        <v>305</v>
      </c>
    </row>
    <row r="5" spans="1:14" ht="15.75">
      <c r="A5" s="56"/>
      <c r="B5" s="56"/>
      <c r="C5" s="199" t="s">
        <v>27</v>
      </c>
      <c r="D5" s="101"/>
      <c r="E5" s="111" t="s">
        <v>547</v>
      </c>
      <c r="F5" s="101"/>
      <c r="G5" s="111" t="s">
        <v>500</v>
      </c>
      <c r="H5" s="101"/>
      <c r="I5" s="111" t="s">
        <v>402</v>
      </c>
      <c r="J5" s="101"/>
      <c r="K5" s="111" t="s">
        <v>310</v>
      </c>
      <c r="L5" s="111"/>
      <c r="M5" s="111" t="s">
        <v>121</v>
      </c>
      <c r="N5" s="56"/>
    </row>
    <row r="6" spans="1:14" ht="15.75">
      <c r="A6" s="56"/>
      <c r="B6" s="56"/>
      <c r="C6" s="111"/>
      <c r="D6" s="101"/>
      <c r="E6" s="282" t="s">
        <v>496</v>
      </c>
      <c r="F6" s="101"/>
      <c r="G6" s="111"/>
      <c r="H6" s="101"/>
      <c r="I6" s="111"/>
      <c r="J6" s="101"/>
      <c r="K6" s="111"/>
      <c r="L6" s="111"/>
      <c r="N6" s="56"/>
    </row>
    <row r="7" spans="12:13" ht="13.5">
      <c r="L7" s="56"/>
      <c r="M7" s="288"/>
    </row>
    <row r="8" spans="1:13" ht="13.5">
      <c r="A8" s="1" t="s">
        <v>404</v>
      </c>
      <c r="C8" s="26">
        <f>'FP&amp;S - Life operations Qtr'!C6</f>
        <v>18187</v>
      </c>
      <c r="D8" s="26"/>
      <c r="E8" s="26">
        <f>G8+'FP&amp;S - Life operations Qtr'!E6</f>
        <v>69094</v>
      </c>
      <c r="F8" s="26"/>
      <c r="G8" s="26">
        <v>0</v>
      </c>
      <c r="H8" s="26"/>
      <c r="I8" s="26">
        <v>0</v>
      </c>
      <c r="J8" s="26"/>
      <c r="K8" s="26">
        <v>0</v>
      </c>
      <c r="L8" s="112"/>
      <c r="M8" s="288" t="s">
        <v>80</v>
      </c>
    </row>
    <row r="9" spans="3:13" ht="13.5">
      <c r="C9" s="18"/>
      <c r="E9" s="18"/>
      <c r="G9" s="18"/>
      <c r="I9" s="18"/>
      <c r="K9" s="18"/>
      <c r="L9" s="56"/>
      <c r="M9" s="288"/>
    </row>
    <row r="10" spans="1:13" ht="13.5">
      <c r="A10" s="1" t="s">
        <v>405</v>
      </c>
      <c r="C10" s="26">
        <f>'FP&amp;S - Life operations Qtr'!C8</f>
        <v>11124</v>
      </c>
      <c r="D10" s="26"/>
      <c r="E10" s="26">
        <f>G10+'FP&amp;S - Life operations Qtr'!E8</f>
        <v>43779</v>
      </c>
      <c r="F10" s="26"/>
      <c r="G10" s="26">
        <v>0</v>
      </c>
      <c r="H10" s="26"/>
      <c r="I10" s="26">
        <v>0</v>
      </c>
      <c r="J10" s="26"/>
      <c r="K10" s="26">
        <v>0</v>
      </c>
      <c r="L10" s="17"/>
      <c r="M10" s="288" t="s">
        <v>80</v>
      </c>
    </row>
    <row r="11" spans="3:13" ht="13.5">
      <c r="C11" s="26"/>
      <c r="D11" s="26"/>
      <c r="E11" s="26"/>
      <c r="F11" s="26"/>
      <c r="G11" s="26"/>
      <c r="H11" s="26"/>
      <c r="I11" s="26"/>
      <c r="J11" s="26"/>
      <c r="K11" s="26"/>
      <c r="L11" s="17"/>
      <c r="M11" s="32"/>
    </row>
    <row r="12" spans="3:13" ht="13.5">
      <c r="C12" s="26"/>
      <c r="D12" s="26"/>
      <c r="E12" s="26"/>
      <c r="F12" s="26"/>
      <c r="G12" s="26"/>
      <c r="H12" s="26"/>
      <c r="I12" s="26"/>
      <c r="J12" s="26"/>
      <c r="K12" s="26"/>
      <c r="L12" s="17"/>
      <c r="M12" s="288"/>
    </row>
    <row r="13" spans="1:13" ht="13.5">
      <c r="A13" s="1" t="s">
        <v>406</v>
      </c>
      <c r="C13" s="26">
        <f>'FP&amp;S - Life operations Qtr'!C11</f>
        <v>9534</v>
      </c>
      <c r="D13" s="26"/>
      <c r="E13" s="26">
        <f>G13+'FP&amp;S - Life operations Qtr'!E11</f>
        <v>42605</v>
      </c>
      <c r="F13" s="26"/>
      <c r="G13" s="26">
        <v>0</v>
      </c>
      <c r="H13" s="26"/>
      <c r="I13" s="26">
        <v>0</v>
      </c>
      <c r="J13" s="26"/>
      <c r="K13" s="26">
        <v>0</v>
      </c>
      <c r="L13" s="17"/>
      <c r="M13" s="288" t="s">
        <v>80</v>
      </c>
    </row>
    <row r="14" spans="3:13" ht="13.5">
      <c r="C14" s="18"/>
      <c r="D14" s="18"/>
      <c r="E14" s="18"/>
      <c r="F14" s="18"/>
      <c r="G14" s="18"/>
      <c r="H14" s="18"/>
      <c r="I14" s="18"/>
      <c r="J14" s="18"/>
      <c r="K14" s="18"/>
      <c r="L14" s="56"/>
      <c r="M14" s="288"/>
    </row>
    <row r="15" spans="1:13" ht="13.5">
      <c r="A15" s="1" t="s">
        <v>395</v>
      </c>
      <c r="C15" s="18">
        <f>'FP&amp;S - Life operations Qtr'!C13</f>
        <v>21</v>
      </c>
      <c r="D15" s="18"/>
      <c r="E15" s="18">
        <f>G15+'FP&amp;S - Life operations Qtr'!E13</f>
        <v>0</v>
      </c>
      <c r="F15" s="18"/>
      <c r="G15" s="18">
        <f>I15+'Reins - Life operations Qtr'!G13</f>
        <v>0</v>
      </c>
      <c r="H15" s="18"/>
      <c r="I15" s="18">
        <f>K15+'Reins - Life operations Qtr'!I13</f>
        <v>0</v>
      </c>
      <c r="J15" s="18"/>
      <c r="K15" s="18">
        <v>0</v>
      </c>
      <c r="L15" s="112"/>
      <c r="M15" s="288" t="s">
        <v>80</v>
      </c>
    </row>
    <row r="16" spans="3:13" ht="13.5">
      <c r="C16" s="18"/>
      <c r="D16" s="18"/>
      <c r="E16" s="18"/>
      <c r="F16" s="18"/>
      <c r="G16" s="18"/>
      <c r="H16" s="18"/>
      <c r="I16" s="18"/>
      <c r="J16" s="18"/>
      <c r="K16" s="18"/>
      <c r="L16" s="56"/>
      <c r="M16" s="288"/>
    </row>
    <row r="17" spans="1:13" ht="13.5">
      <c r="A17" s="1" t="s">
        <v>129</v>
      </c>
      <c r="C17" s="18">
        <f>'FP&amp;S - Life operations Qtr'!C15</f>
        <v>9086</v>
      </c>
      <c r="D17" s="18"/>
      <c r="E17" s="18">
        <f>G17+'FP&amp;S - Life operations Qtr'!E15</f>
        <v>41475</v>
      </c>
      <c r="F17" s="18"/>
      <c r="G17" s="18">
        <v>0</v>
      </c>
      <c r="H17" s="18"/>
      <c r="I17" s="18">
        <v>0</v>
      </c>
      <c r="J17" s="18"/>
      <c r="K17" s="18">
        <v>0</v>
      </c>
      <c r="L17" s="112"/>
      <c r="M17" s="288" t="s">
        <v>80</v>
      </c>
    </row>
    <row r="18" spans="3:13" ht="13.5">
      <c r="C18" s="18"/>
      <c r="D18" s="18"/>
      <c r="E18" s="18"/>
      <c r="F18" s="18"/>
      <c r="G18" s="18"/>
      <c r="H18" s="18"/>
      <c r="I18" s="18"/>
      <c r="J18" s="18"/>
      <c r="K18" s="18"/>
      <c r="L18" s="56"/>
      <c r="M18" s="32"/>
    </row>
    <row r="19" spans="1:13" ht="13.5">
      <c r="A19" s="1" t="s">
        <v>397</v>
      </c>
      <c r="C19" s="18">
        <f>'FP&amp;S - Life operations Qtr'!C17</f>
        <v>1057</v>
      </c>
      <c r="D19" s="18"/>
      <c r="E19" s="18">
        <f>G19+'FP&amp;S - Life operations Qtr'!E17</f>
        <v>0</v>
      </c>
      <c r="F19" s="18"/>
      <c r="G19" s="18">
        <v>0</v>
      </c>
      <c r="H19" s="18"/>
      <c r="I19" s="18">
        <v>0</v>
      </c>
      <c r="J19" s="18"/>
      <c r="K19" s="18">
        <v>0</v>
      </c>
      <c r="L19" s="112"/>
      <c r="M19" s="288" t="s">
        <v>80</v>
      </c>
    </row>
    <row r="20" spans="3:13" ht="13.5">
      <c r="C20" s="18"/>
      <c r="D20" s="18"/>
      <c r="E20" s="18"/>
      <c r="F20" s="18"/>
      <c r="G20" s="18"/>
      <c r="H20" s="18"/>
      <c r="I20" s="18"/>
      <c r="J20" s="18"/>
      <c r="K20" s="18"/>
      <c r="L20" s="56"/>
      <c r="M20" s="32"/>
    </row>
    <row r="21" spans="1:13" ht="13.5">
      <c r="A21" s="1" t="s">
        <v>398</v>
      </c>
      <c r="C21" s="18">
        <f>'FP&amp;S - Life operations Qtr'!C19</f>
        <v>2433</v>
      </c>
      <c r="D21" s="18"/>
      <c r="E21" s="18">
        <f>G21+'FP&amp;S - Life operations Qtr'!E19</f>
        <v>404</v>
      </c>
      <c r="F21" s="18"/>
      <c r="G21" s="18">
        <v>0</v>
      </c>
      <c r="H21" s="18"/>
      <c r="I21" s="18">
        <v>0</v>
      </c>
      <c r="J21" s="18"/>
      <c r="K21" s="18">
        <v>0</v>
      </c>
      <c r="L21" s="112"/>
      <c r="M21" s="288" t="s">
        <v>80</v>
      </c>
    </row>
    <row r="22" spans="3:13" ht="13.5">
      <c r="C22" s="18"/>
      <c r="D22" s="18"/>
      <c r="E22" s="18"/>
      <c r="F22" s="18"/>
      <c r="G22" s="18"/>
      <c r="H22" s="18"/>
      <c r="I22" s="18"/>
      <c r="J22" s="18"/>
      <c r="K22" s="18"/>
      <c r="L22" s="56"/>
      <c r="M22" s="135"/>
    </row>
    <row r="23" spans="1:13" ht="13.5">
      <c r="A23" s="1" t="s">
        <v>306</v>
      </c>
      <c r="C23" s="18">
        <f>'FP&amp;S - Life operations Qtr'!C21</f>
        <v>3775</v>
      </c>
      <c r="D23" s="18"/>
      <c r="E23" s="18">
        <f>G23+'FP&amp;S - Life operations Qtr'!E21</f>
        <v>0</v>
      </c>
      <c r="F23" s="18"/>
      <c r="G23" s="18">
        <v>0</v>
      </c>
      <c r="H23" s="18"/>
      <c r="I23" s="18">
        <v>0</v>
      </c>
      <c r="J23" s="18"/>
      <c r="K23" s="18">
        <v>0</v>
      </c>
      <c r="L23" s="112"/>
      <c r="M23" s="288" t="s">
        <v>80</v>
      </c>
    </row>
    <row r="24" spans="3:12" ht="13.5">
      <c r="C24" s="18"/>
      <c r="D24" s="18"/>
      <c r="E24" s="18"/>
      <c r="F24" s="18"/>
      <c r="G24" s="18"/>
      <c r="H24" s="18"/>
      <c r="I24" s="18"/>
      <c r="J24" s="18"/>
      <c r="K24" s="18"/>
      <c r="L24" s="56"/>
    </row>
    <row r="25" spans="1:13" ht="14.25" thickBot="1">
      <c r="A25" s="14" t="s">
        <v>417</v>
      </c>
      <c r="B25" s="14"/>
      <c r="C25" s="35">
        <f>'FP&amp;S - Life operations Qtr'!C23</f>
        <v>754</v>
      </c>
      <c r="D25" s="29"/>
      <c r="E25" s="35">
        <f>G25+'FP&amp;S - Life operations Qtr'!E23</f>
        <v>726</v>
      </c>
      <c r="F25" s="29"/>
      <c r="G25" s="35">
        <v>0</v>
      </c>
      <c r="H25" s="29"/>
      <c r="I25" s="35">
        <v>0</v>
      </c>
      <c r="J25" s="29"/>
      <c r="K25" s="35">
        <v>0</v>
      </c>
      <c r="L25" s="17"/>
      <c r="M25" s="290" t="s">
        <v>80</v>
      </c>
    </row>
    <row r="26" ht="14.25" thickTop="1">
      <c r="L26" s="56"/>
    </row>
    <row r="27" ht="13.5">
      <c r="L27" s="56"/>
    </row>
    <row r="28" ht="13.5">
      <c r="A28" s="14" t="s">
        <v>315</v>
      </c>
    </row>
    <row r="29" spans="1:14" ht="13.5">
      <c r="A29" s="335" t="s">
        <v>132</v>
      </c>
      <c r="B29" s="335"/>
      <c r="C29" s="335"/>
      <c r="D29" s="335"/>
      <c r="E29" s="335"/>
      <c r="F29" s="335"/>
      <c r="G29" s="335"/>
      <c r="H29" s="335"/>
      <c r="I29" s="335"/>
      <c r="J29" s="335"/>
      <c r="K29" s="335"/>
      <c r="L29" s="335"/>
      <c r="M29" s="335"/>
      <c r="N29" s="335"/>
    </row>
  </sheetData>
  <mergeCells count="1">
    <mergeCell ref="A29:N29"/>
  </mergeCells>
  <printOptions horizontalCentered="1" verticalCentered="1"/>
  <pageMargins left="0.5" right="0.5" top="1" bottom="3.32" header="0.5" footer="0.5"/>
  <pageSetup horizontalDpi="600" verticalDpi="600" orientation="landscape" scale="56" r:id="rId2"/>
  <headerFooter alignWithMargins="0">
    <oddHeader>&amp;L&amp;G&amp;C&amp;"Optima,Bold"&amp;18FINANCIAL PRODUCTS AND SERVICES SEGMENT - LIFE OPERATIONS
&amp;"Optima,Regular"&amp;12(U.S. dollars in thousands)
(Unaudited)</oddHeader>
    <oddFooter>&amp;C&amp;"Optima,Regular"23</oddFooter>
  </headerFooter>
  <legacyDrawingHF r:id="rId1"/>
</worksheet>
</file>

<file path=xl/worksheets/sheet32.xml><?xml version="1.0" encoding="utf-8"?>
<worksheet xmlns="http://schemas.openxmlformats.org/spreadsheetml/2006/main" xmlns:r="http://schemas.openxmlformats.org/officeDocument/2006/relationships">
  <sheetPr codeName="Sheet27"/>
  <dimension ref="A5:M12"/>
  <sheetViews>
    <sheetView workbookViewId="0" topLeftCell="A3">
      <selection activeCell="M30" sqref="M30"/>
    </sheetView>
  </sheetViews>
  <sheetFormatPr defaultColWidth="9.140625" defaultRowHeight="12.75"/>
  <cols>
    <col min="1" max="4" width="9.140625" style="1" customWidth="1"/>
    <col min="5" max="5" width="7.421875" style="1" customWidth="1"/>
    <col min="6" max="16384" width="9.140625" style="1" customWidth="1"/>
  </cols>
  <sheetData>
    <row r="5" spans="1:13" ht="13.5">
      <c r="A5" s="14"/>
      <c r="B5" s="14"/>
      <c r="C5" s="14"/>
      <c r="D5" s="14"/>
      <c r="E5" s="14"/>
      <c r="F5" s="14"/>
      <c r="G5" s="14"/>
      <c r="H5" s="14"/>
      <c r="I5" s="14"/>
      <c r="J5" s="14"/>
      <c r="K5" s="14"/>
      <c r="L5" s="14"/>
      <c r="M5" s="14"/>
    </row>
    <row r="6" spans="1:13" ht="13.5">
      <c r="A6" s="14"/>
      <c r="B6" s="14"/>
      <c r="C6" s="14"/>
      <c r="D6" s="14"/>
      <c r="E6" s="14"/>
      <c r="F6" s="14"/>
      <c r="G6" s="14"/>
      <c r="H6" s="14"/>
      <c r="I6" s="14"/>
      <c r="J6" s="14"/>
      <c r="K6" s="14"/>
      <c r="L6" s="14"/>
      <c r="M6" s="14"/>
    </row>
    <row r="7" spans="1:13" ht="13.5">
      <c r="A7" s="14"/>
      <c r="B7" s="14"/>
      <c r="C7" s="14"/>
      <c r="D7" s="14"/>
      <c r="E7" s="14"/>
      <c r="F7" s="14"/>
      <c r="G7" s="14"/>
      <c r="H7" s="14"/>
      <c r="I7" s="14"/>
      <c r="J7" s="14"/>
      <c r="K7" s="14"/>
      <c r="L7" s="14"/>
      <c r="M7" s="14"/>
    </row>
    <row r="12" ht="33.75">
      <c r="E12" s="65" t="s">
        <v>412</v>
      </c>
    </row>
  </sheetData>
  <printOptions horizontalCentered="1" verticalCentered="1"/>
  <pageMargins left="0.75" right="3.5" top="0.75" bottom="3.5" header="0.25" footer="0.5"/>
  <pageSetup horizontalDpi="300" verticalDpi="300" orientation="landscape" scale="70" r:id="rId2"/>
  <headerFooter alignWithMargins="0">
    <oddHeader>&amp;L&amp;G</oddHeader>
    <oddFooter>&amp;C&amp;"Optima,Regular"24</oddFooter>
  </headerFooter>
  <legacyDrawingHF r:id="rId1"/>
</worksheet>
</file>

<file path=xl/worksheets/sheet33.xml><?xml version="1.0" encoding="utf-8"?>
<worksheet xmlns="http://schemas.openxmlformats.org/spreadsheetml/2006/main" xmlns:r="http://schemas.openxmlformats.org/officeDocument/2006/relationships">
  <sheetPr codeName="Sheet28"/>
  <dimension ref="A2:K51"/>
  <sheetViews>
    <sheetView workbookViewId="0" topLeftCell="A28">
      <selection activeCell="A39" sqref="A39"/>
    </sheetView>
  </sheetViews>
  <sheetFormatPr defaultColWidth="9.140625" defaultRowHeight="12.75"/>
  <cols>
    <col min="1" max="1" width="51.7109375" style="1" customWidth="1"/>
    <col min="2" max="2" width="3.28125" style="1" customWidth="1"/>
    <col min="3" max="3" width="21.7109375" style="1" bestFit="1" customWidth="1"/>
    <col min="4" max="4" width="3.28125" style="1" customWidth="1"/>
    <col min="5" max="5" width="21.7109375" style="1" bestFit="1" customWidth="1"/>
    <col min="6" max="6" width="3.28125" style="1" customWidth="1"/>
    <col min="7" max="7" width="21.7109375" style="1" bestFit="1" customWidth="1"/>
    <col min="8" max="8" width="3.28125" style="1" customWidth="1"/>
    <col min="9" max="9" width="18.7109375" style="1" customWidth="1"/>
    <col min="10" max="10" width="3.421875" style="1" customWidth="1"/>
    <col min="11" max="11" width="18.7109375" style="1" customWidth="1"/>
    <col min="12" max="16384" width="9.140625" style="1" customWidth="1"/>
  </cols>
  <sheetData>
    <row r="2" spans="3:11" ht="15.75">
      <c r="C2" s="12" t="s">
        <v>537</v>
      </c>
      <c r="E2" s="12" t="s">
        <v>537</v>
      </c>
      <c r="G2" s="12" t="s">
        <v>537</v>
      </c>
      <c r="I2" s="12" t="s">
        <v>537</v>
      </c>
      <c r="K2" s="12" t="s">
        <v>537</v>
      </c>
    </row>
    <row r="3" spans="3:11" ht="15.75">
      <c r="C3" s="200" t="s">
        <v>27</v>
      </c>
      <c r="E3" s="25" t="s">
        <v>547</v>
      </c>
      <c r="G3" s="25" t="s">
        <v>500</v>
      </c>
      <c r="I3" s="25" t="s">
        <v>402</v>
      </c>
      <c r="K3" s="25" t="s">
        <v>359</v>
      </c>
    </row>
    <row r="4" spans="1:11" ht="15">
      <c r="A4" s="9" t="s">
        <v>361</v>
      </c>
      <c r="B4" s="9"/>
      <c r="C4" s="2"/>
      <c r="D4" s="9"/>
      <c r="E4" s="2"/>
      <c r="F4" s="9"/>
      <c r="G4" s="2"/>
      <c r="H4" s="9"/>
      <c r="I4" s="2"/>
      <c r="J4" s="2"/>
      <c r="K4" s="2"/>
    </row>
    <row r="5" spans="1:11" s="24" customFormat="1" ht="40.5">
      <c r="A5" s="24" t="s">
        <v>127</v>
      </c>
      <c r="C5" s="137">
        <v>15294620</v>
      </c>
      <c r="E5" s="137">
        <v>14482647</v>
      </c>
      <c r="G5" s="137">
        <v>13694704</v>
      </c>
      <c r="I5" s="137">
        <v>11922363</v>
      </c>
      <c r="J5" s="138"/>
      <c r="K5" s="137">
        <v>11525883</v>
      </c>
    </row>
    <row r="6" spans="1:11" ht="27">
      <c r="A6" s="24" t="s">
        <v>82</v>
      </c>
      <c r="C6" s="18">
        <v>530306</v>
      </c>
      <c r="E6" s="18">
        <v>575010</v>
      </c>
      <c r="G6" s="18">
        <v>587129</v>
      </c>
      <c r="I6" s="18">
        <v>662138</v>
      </c>
      <c r="J6" s="18"/>
      <c r="K6" s="18">
        <v>678319</v>
      </c>
    </row>
    <row r="7" spans="1:11" s="24" customFormat="1" ht="27">
      <c r="A7" s="24" t="s">
        <v>83</v>
      </c>
      <c r="C7" s="139">
        <v>1382347</v>
      </c>
      <c r="E7" s="139">
        <v>1002076</v>
      </c>
      <c r="G7" s="139">
        <v>926794</v>
      </c>
      <c r="I7" s="139">
        <v>881819</v>
      </c>
      <c r="J7" s="138"/>
      <c r="K7" s="139">
        <v>629399</v>
      </c>
    </row>
    <row r="8" spans="1:11" ht="13.5">
      <c r="A8" s="76" t="s">
        <v>427</v>
      </c>
      <c r="B8" s="76"/>
      <c r="C8" s="18">
        <f>SUM(C5:C7)</f>
        <v>17207273</v>
      </c>
      <c r="D8" s="76"/>
      <c r="E8" s="18">
        <f>SUM(E5:E7)</f>
        <v>16059733</v>
      </c>
      <c r="F8" s="76"/>
      <c r="G8" s="18">
        <f>SUM(G5:G7)</f>
        <v>15208627</v>
      </c>
      <c r="H8" s="76"/>
      <c r="I8" s="18">
        <f>SUM(I5:I7)</f>
        <v>13466320</v>
      </c>
      <c r="J8" s="18"/>
      <c r="K8" s="18">
        <f>SUM(K5:K7)</f>
        <v>12833601</v>
      </c>
    </row>
    <row r="9" spans="1:11" ht="13.5">
      <c r="A9" s="1" t="s">
        <v>363</v>
      </c>
      <c r="C9" s="18">
        <v>1729593</v>
      </c>
      <c r="E9" s="18">
        <v>1750005</v>
      </c>
      <c r="G9" s="18">
        <v>1684713</v>
      </c>
      <c r="I9" s="18">
        <v>1234174</v>
      </c>
      <c r="J9" s="18"/>
      <c r="K9" s="18">
        <v>1162725</v>
      </c>
    </row>
    <row r="10" spans="1:11" ht="13.5">
      <c r="A10" s="1" t="s">
        <v>364</v>
      </c>
      <c r="C10" s="27">
        <v>166939</v>
      </c>
      <c r="E10" s="27">
        <v>146061</v>
      </c>
      <c r="G10" s="27">
        <v>189098</v>
      </c>
      <c r="I10" s="27">
        <v>223059</v>
      </c>
      <c r="J10" s="18"/>
      <c r="K10" s="27">
        <v>250384</v>
      </c>
    </row>
    <row r="11" spans="1:11" ht="13.5">
      <c r="A11" s="76" t="s">
        <v>426</v>
      </c>
      <c r="B11" s="76"/>
      <c r="C11" s="18">
        <f>SUM(C8:C10)</f>
        <v>19103805</v>
      </c>
      <c r="D11" s="76"/>
      <c r="E11" s="18">
        <f>SUM(E8:E10)</f>
        <v>17955799</v>
      </c>
      <c r="F11" s="76"/>
      <c r="G11" s="18">
        <f>SUM(G8:G10)</f>
        <v>17082438</v>
      </c>
      <c r="H11" s="76"/>
      <c r="I11" s="18">
        <f>SUM(I8:I10)</f>
        <v>14923553</v>
      </c>
      <c r="J11" s="18"/>
      <c r="K11" s="18">
        <f>SUM(K8:K10)</f>
        <v>14246710</v>
      </c>
    </row>
    <row r="12" spans="1:11" ht="13.5">
      <c r="A12" s="1" t="s">
        <v>362</v>
      </c>
      <c r="C12" s="18">
        <v>3152328</v>
      </c>
      <c r="E12" s="18">
        <v>3557815</v>
      </c>
      <c r="G12" s="18">
        <v>2737445</v>
      </c>
      <c r="I12" s="18">
        <v>2278754</v>
      </c>
      <c r="J12" s="18"/>
      <c r="K12" s="18">
        <v>2066413</v>
      </c>
    </row>
    <row r="13" spans="1:11" ht="13.5">
      <c r="A13" s="1" t="s">
        <v>366</v>
      </c>
      <c r="C13" s="18">
        <v>225104</v>
      </c>
      <c r="E13" s="18">
        <v>226862</v>
      </c>
      <c r="G13" s="18">
        <v>219643</v>
      </c>
      <c r="I13" s="18">
        <v>196990</v>
      </c>
      <c r="J13" s="18"/>
      <c r="K13" s="18">
        <v>193662</v>
      </c>
    </row>
    <row r="14" spans="1:11" ht="13.5">
      <c r="A14" s="1" t="s">
        <v>367</v>
      </c>
      <c r="C14" s="18">
        <v>822538</v>
      </c>
      <c r="E14" s="18">
        <v>688281</v>
      </c>
      <c r="G14" s="18">
        <v>650719</v>
      </c>
      <c r="I14" s="18">
        <v>631977</v>
      </c>
      <c r="J14" s="18"/>
      <c r="K14" s="18">
        <v>614717</v>
      </c>
    </row>
    <row r="15" spans="1:11" ht="13.5">
      <c r="A15" s="1" t="s">
        <v>368</v>
      </c>
      <c r="C15" s="18">
        <v>1213868</v>
      </c>
      <c r="E15" s="18">
        <v>957036</v>
      </c>
      <c r="G15" s="18">
        <v>1098380</v>
      </c>
      <c r="I15" s="18">
        <v>1023610</v>
      </c>
      <c r="J15" s="18"/>
      <c r="K15" s="18">
        <v>1080629</v>
      </c>
    </row>
    <row r="16" spans="1:11" ht="13.5">
      <c r="A16" s="1" t="s">
        <v>369</v>
      </c>
      <c r="C16" s="18">
        <v>5819716</v>
      </c>
      <c r="E16" s="18">
        <f>3592713+1239970</f>
        <v>4832683</v>
      </c>
      <c r="G16" s="18">
        <f>3647749+1083434</f>
        <v>4731183</v>
      </c>
      <c r="I16" s="18">
        <v>4845638</v>
      </c>
      <c r="J16" s="18"/>
      <c r="K16" s="18">
        <v>4803538</v>
      </c>
    </row>
    <row r="17" spans="1:11" ht="13.5">
      <c r="A17" s="1" t="s">
        <v>370</v>
      </c>
      <c r="C17" s="18">
        <v>4866451</v>
      </c>
      <c r="E17" s="18">
        <v>5012655</v>
      </c>
      <c r="G17" s="18">
        <v>5185458</v>
      </c>
      <c r="I17" s="18">
        <v>4727297</v>
      </c>
      <c r="J17" s="18"/>
      <c r="K17" s="18">
        <v>5063661</v>
      </c>
    </row>
    <row r="18" spans="1:11" ht="13.5">
      <c r="A18" s="1" t="s">
        <v>371</v>
      </c>
      <c r="C18" s="18">
        <v>1652998</v>
      </c>
      <c r="E18" s="18">
        <v>1653700</v>
      </c>
      <c r="G18" s="18">
        <v>1646333</v>
      </c>
      <c r="I18" s="18">
        <v>1648475</v>
      </c>
      <c r="J18" s="18"/>
      <c r="K18" s="18">
        <v>1677597</v>
      </c>
    </row>
    <row r="19" spans="1:11" ht="13.5">
      <c r="A19" s="1" t="s">
        <v>372</v>
      </c>
      <c r="C19" s="18">
        <v>314490</v>
      </c>
      <c r="E19" s="18">
        <v>320624</v>
      </c>
      <c r="G19" s="18">
        <v>287448</v>
      </c>
      <c r="I19" s="18">
        <v>389675</v>
      </c>
      <c r="J19" s="18"/>
      <c r="K19" s="18">
        <v>340875</v>
      </c>
    </row>
    <row r="20" spans="1:11" ht="13.5">
      <c r="A20" s="1" t="s">
        <v>373</v>
      </c>
      <c r="C20" s="18">
        <v>290327</v>
      </c>
      <c r="E20" s="18">
        <v>441914</v>
      </c>
      <c r="G20" s="18">
        <v>451780</v>
      </c>
      <c r="I20" s="18">
        <v>523296</v>
      </c>
      <c r="J20" s="18"/>
      <c r="K20" s="18">
        <v>629983</v>
      </c>
    </row>
    <row r="21" spans="1:11" ht="14.25" thickBot="1">
      <c r="A21" s="80" t="s">
        <v>422</v>
      </c>
      <c r="B21" s="80"/>
      <c r="C21" s="35">
        <f>SUM(C11:C20)</f>
        <v>37461625</v>
      </c>
      <c r="D21" s="80"/>
      <c r="E21" s="35">
        <f>SUM(E11:E20)</f>
        <v>35647369</v>
      </c>
      <c r="F21" s="80"/>
      <c r="G21" s="35">
        <f>SUM(G11:G20)</f>
        <v>34090827</v>
      </c>
      <c r="H21" s="80"/>
      <c r="I21" s="35">
        <f>SUM(I11:I20)</f>
        <v>31189265</v>
      </c>
      <c r="J21" s="61"/>
      <c r="K21" s="35">
        <f>SUM(K11:K20)</f>
        <v>30717785</v>
      </c>
    </row>
    <row r="22" spans="3:11" ht="14.25" thickTop="1">
      <c r="C22" s="18"/>
      <c r="E22" s="18"/>
      <c r="G22" s="18"/>
      <c r="I22" s="18"/>
      <c r="J22" s="18"/>
      <c r="K22" s="18"/>
    </row>
    <row r="23" spans="1:11" ht="15">
      <c r="A23" s="9" t="s">
        <v>374</v>
      </c>
      <c r="B23" s="9"/>
      <c r="C23" s="18"/>
      <c r="D23" s="9"/>
      <c r="E23" s="18"/>
      <c r="F23" s="9"/>
      <c r="G23" s="18"/>
      <c r="H23" s="9"/>
      <c r="I23" s="18"/>
      <c r="J23" s="18"/>
      <c r="K23" s="18"/>
    </row>
    <row r="24" spans="1:11" ht="13.5">
      <c r="A24" s="1" t="s">
        <v>375</v>
      </c>
      <c r="C24" s="26">
        <v>13496875</v>
      </c>
      <c r="E24" s="26">
        <v>13202736</v>
      </c>
      <c r="G24" s="26">
        <v>12690974</v>
      </c>
      <c r="I24" s="26">
        <v>12396503</v>
      </c>
      <c r="J24" s="18"/>
      <c r="K24" s="26">
        <v>12275728</v>
      </c>
    </row>
    <row r="25" spans="1:11" ht="13.5">
      <c r="A25" s="1" t="s">
        <v>62</v>
      </c>
      <c r="C25" s="18">
        <v>2448275</v>
      </c>
      <c r="E25" s="18">
        <v>2373047</v>
      </c>
      <c r="G25" s="171">
        <v>1918731</v>
      </c>
      <c r="H25" s="214"/>
      <c r="I25" s="171">
        <v>1595153</v>
      </c>
      <c r="J25" s="171"/>
      <c r="K25" s="171">
        <v>1248184</v>
      </c>
    </row>
    <row r="26" spans="1:11" ht="13.5">
      <c r="A26" s="1" t="s">
        <v>61</v>
      </c>
      <c r="C26" s="18">
        <v>2532637</v>
      </c>
      <c r="E26" s="18">
        <v>2516949</v>
      </c>
      <c r="G26" s="171">
        <v>2027740</v>
      </c>
      <c r="H26" s="214"/>
      <c r="I26" s="171">
        <v>1233602</v>
      </c>
      <c r="J26" s="171"/>
      <c r="K26" s="171">
        <v>1161297</v>
      </c>
    </row>
    <row r="27" spans="1:11" ht="13.5">
      <c r="A27" s="1" t="s">
        <v>316</v>
      </c>
      <c r="C27" s="18">
        <v>5171414</v>
      </c>
      <c r="E27" s="18">
        <v>4028299</v>
      </c>
      <c r="G27" s="18">
        <v>4269803</v>
      </c>
      <c r="I27" s="18">
        <v>4145201</v>
      </c>
      <c r="J27" s="18"/>
      <c r="K27" s="18">
        <v>4091367</v>
      </c>
    </row>
    <row r="28" spans="1:11" ht="13.5">
      <c r="A28" s="1" t="s">
        <v>317</v>
      </c>
      <c r="C28" s="18">
        <v>1884158</v>
      </c>
      <c r="E28" s="18">
        <v>1877957</v>
      </c>
      <c r="G28" s="18">
        <v>1870210</v>
      </c>
      <c r="I28" s="18">
        <v>1863816</v>
      </c>
      <c r="J28" s="18"/>
      <c r="K28" s="18">
        <v>1857670</v>
      </c>
    </row>
    <row r="29" spans="1:11" ht="13.5">
      <c r="A29" s="1" t="s">
        <v>318</v>
      </c>
      <c r="C29" s="18">
        <v>1878626</v>
      </c>
      <c r="E29" s="18">
        <v>1924150</v>
      </c>
      <c r="G29" s="18">
        <v>2402945</v>
      </c>
      <c r="I29" s="18">
        <v>2027837</v>
      </c>
      <c r="J29" s="18"/>
      <c r="K29" s="18">
        <v>1886357</v>
      </c>
    </row>
    <row r="30" spans="1:11" ht="13.5">
      <c r="A30" s="1" t="s">
        <v>319</v>
      </c>
      <c r="C30" s="18">
        <v>1668469</v>
      </c>
      <c r="E30" s="18">
        <v>1546276</v>
      </c>
      <c r="G30" s="18">
        <v>1778303</v>
      </c>
      <c r="I30" s="18">
        <v>1453400</v>
      </c>
      <c r="J30" s="18"/>
      <c r="K30" s="18">
        <v>1483177</v>
      </c>
    </row>
    <row r="31" spans="1:11" ht="13.5">
      <c r="A31" s="1" t="s">
        <v>320</v>
      </c>
      <c r="C31" s="18">
        <v>1510097</v>
      </c>
      <c r="E31" s="18">
        <v>1551443</v>
      </c>
      <c r="G31" s="18">
        <v>1127728</v>
      </c>
      <c r="I31" s="18">
        <v>1045000</v>
      </c>
      <c r="J31" s="18"/>
      <c r="K31" s="18">
        <v>1215846</v>
      </c>
    </row>
    <row r="32" spans="1:11" ht="13.5">
      <c r="A32" s="1" t="s">
        <v>385</v>
      </c>
      <c r="C32" s="18">
        <f>58830-1</f>
        <v>58829</v>
      </c>
      <c r="E32" s="18">
        <v>56923</v>
      </c>
      <c r="G32" s="18">
        <v>55717</v>
      </c>
      <c r="I32" s="18">
        <v>53222</v>
      </c>
      <c r="J32" s="18"/>
      <c r="K32" s="18">
        <v>48095</v>
      </c>
    </row>
    <row r="33" spans="1:11" ht="13.5">
      <c r="A33" s="72" t="s">
        <v>423</v>
      </c>
      <c r="B33" s="72"/>
      <c r="C33" s="37">
        <f>SUM(C24:C32)</f>
        <v>30649380</v>
      </c>
      <c r="D33" s="72"/>
      <c r="E33" s="37">
        <f>SUM(E24:E32)</f>
        <v>29077780</v>
      </c>
      <c r="F33" s="72"/>
      <c r="G33" s="37">
        <f>SUM(G24:G32)</f>
        <v>28142151</v>
      </c>
      <c r="H33" s="72"/>
      <c r="I33" s="37">
        <f>SUM(I24:I32)</f>
        <v>25813734</v>
      </c>
      <c r="J33" s="61"/>
      <c r="K33" s="37">
        <f>SUM(K24:K32)</f>
        <v>25267721</v>
      </c>
    </row>
    <row r="34" spans="3:11" ht="13.5">
      <c r="C34" s="18"/>
      <c r="E34" s="18"/>
      <c r="G34" s="18"/>
      <c r="I34" s="18"/>
      <c r="J34" s="18"/>
      <c r="K34" s="18"/>
    </row>
    <row r="35" spans="1:11" ht="15">
      <c r="A35" s="9" t="s">
        <v>321</v>
      </c>
      <c r="B35" s="9"/>
      <c r="C35" s="18"/>
      <c r="D35" s="9"/>
      <c r="E35" s="18"/>
      <c r="F35" s="9"/>
      <c r="G35" s="18"/>
      <c r="H35" s="9"/>
      <c r="I35" s="18"/>
      <c r="J35" s="18"/>
      <c r="K35" s="18"/>
    </row>
    <row r="36" spans="1:11" ht="13.5">
      <c r="A36" s="1" t="s">
        <v>570</v>
      </c>
      <c r="C36" s="26">
        <v>1365</v>
      </c>
      <c r="E36" s="26">
        <v>1360</v>
      </c>
      <c r="G36" s="26">
        <v>1358</v>
      </c>
      <c r="I36" s="26">
        <v>1358</v>
      </c>
      <c r="J36" s="18"/>
      <c r="K36" s="26">
        <v>1355</v>
      </c>
    </row>
    <row r="37" spans="1:11" ht="13.5">
      <c r="A37" s="1" t="s">
        <v>502</v>
      </c>
      <c r="C37" s="18">
        <v>207</v>
      </c>
      <c r="E37" s="18">
        <v>207</v>
      </c>
      <c r="G37" s="171">
        <v>92</v>
      </c>
      <c r="I37" s="18">
        <v>0</v>
      </c>
      <c r="J37" s="18"/>
      <c r="K37" s="18">
        <v>0</v>
      </c>
    </row>
    <row r="38" spans="1:11" ht="13.5">
      <c r="A38" s="1" t="s">
        <v>322</v>
      </c>
      <c r="C38" s="18">
        <v>4012039</v>
      </c>
      <c r="E38" s="18">
        <v>3979979</v>
      </c>
      <c r="G38" s="171">
        <v>3665693</v>
      </c>
      <c r="I38" s="18">
        <v>3439868</v>
      </c>
      <c r="J38" s="18"/>
      <c r="K38" s="18">
        <v>3427920</v>
      </c>
    </row>
    <row r="39" spans="1:11" ht="13.5">
      <c r="A39" s="1" t="s">
        <v>571</v>
      </c>
      <c r="C39" s="18">
        <v>245861</v>
      </c>
      <c r="E39" s="18">
        <v>184814</v>
      </c>
      <c r="G39" s="18">
        <v>35937</v>
      </c>
      <c r="I39" s="18">
        <v>-193051</v>
      </c>
      <c r="J39" s="18"/>
      <c r="K39" s="18">
        <v>-260250</v>
      </c>
    </row>
    <row r="40" spans="1:11" ht="13.5">
      <c r="A40" s="1" t="s">
        <v>323</v>
      </c>
      <c r="C40" s="18">
        <v>-56081</v>
      </c>
      <c r="E40" s="18">
        <v>-31282</v>
      </c>
      <c r="G40" s="18">
        <v>-34770</v>
      </c>
      <c r="I40" s="18">
        <v>-38038</v>
      </c>
      <c r="J40" s="18"/>
      <c r="K40" s="18">
        <v>-41965</v>
      </c>
    </row>
    <row r="41" spans="1:11" ht="13.5">
      <c r="A41" s="1" t="s">
        <v>324</v>
      </c>
      <c r="C41" s="18">
        <v>2608854</v>
      </c>
      <c r="E41" s="18">
        <v>2434511</v>
      </c>
      <c r="G41" s="18">
        <v>2280366</v>
      </c>
      <c r="I41" s="18">
        <v>2165394</v>
      </c>
      <c r="J41" s="18"/>
      <c r="K41" s="18">
        <v>2323004</v>
      </c>
    </row>
    <row r="42" spans="1:11" ht="13.5">
      <c r="A42" s="72" t="s">
        <v>424</v>
      </c>
      <c r="B42" s="72"/>
      <c r="C42" s="37">
        <f>SUM(C36:C41)</f>
        <v>6812245</v>
      </c>
      <c r="D42" s="72"/>
      <c r="E42" s="37">
        <f>SUM(E36:E41)</f>
        <v>6569589</v>
      </c>
      <c r="F42" s="72"/>
      <c r="G42" s="37">
        <f>SUM(G36:G41)</f>
        <v>5948676</v>
      </c>
      <c r="H42" s="72"/>
      <c r="I42" s="37">
        <f>SUM(I36:I41)</f>
        <v>5375531</v>
      </c>
      <c r="J42" s="61"/>
      <c r="K42" s="37">
        <f>SUM(K36:K41)</f>
        <v>5450064</v>
      </c>
    </row>
    <row r="43" spans="1:11" ht="13.5">
      <c r="A43" s="76"/>
      <c r="B43" s="76"/>
      <c r="C43" s="18"/>
      <c r="D43" s="76"/>
      <c r="E43" s="18"/>
      <c r="F43" s="76"/>
      <c r="G43" s="18"/>
      <c r="H43" s="76"/>
      <c r="I43" s="18"/>
      <c r="J43" s="18"/>
      <c r="K43" s="18"/>
    </row>
    <row r="44" spans="1:11" ht="14.25" thickBot="1">
      <c r="A44" s="72" t="s">
        <v>425</v>
      </c>
      <c r="B44" s="72"/>
      <c r="C44" s="35">
        <f>+C42+C33</f>
        <v>37461625</v>
      </c>
      <c r="D44" s="72"/>
      <c r="E44" s="35">
        <f>+E42+E33</f>
        <v>35647369</v>
      </c>
      <c r="F44" s="72"/>
      <c r="G44" s="35">
        <f>+G42+G33</f>
        <v>34090827</v>
      </c>
      <c r="H44" s="72"/>
      <c r="I44" s="35">
        <f>+I42+I33</f>
        <v>31189265</v>
      </c>
      <c r="J44" s="14"/>
      <c r="K44" s="35">
        <f>+K42+K33</f>
        <v>30717785</v>
      </c>
    </row>
    <row r="45" ht="14.25" thickTop="1"/>
    <row r="46" spans="1:11" ht="13.5">
      <c r="A46" s="14" t="s">
        <v>213</v>
      </c>
      <c r="B46" s="14"/>
      <c r="C46" s="62">
        <v>46.09</v>
      </c>
      <c r="D46" s="14"/>
      <c r="E46" s="62">
        <v>44.48</v>
      </c>
      <c r="F46" s="14"/>
      <c r="G46" s="62">
        <v>42.1</v>
      </c>
      <c r="H46" s="14"/>
      <c r="I46" s="62">
        <v>39.6</v>
      </c>
      <c r="J46" s="14"/>
      <c r="K46" s="62">
        <v>40.22</v>
      </c>
    </row>
    <row r="47" ht="13.5">
      <c r="I47" s="124"/>
    </row>
    <row r="48" spans="1:11" ht="13.5">
      <c r="A48" s="14" t="s">
        <v>538</v>
      </c>
      <c r="B48" s="14"/>
      <c r="C48" s="70">
        <f>'Financial Highlights-BS'!C31</f>
        <v>136560490</v>
      </c>
      <c r="D48" s="14"/>
      <c r="E48" s="70">
        <f>'Financial Highlights-BS'!E31</f>
        <v>136063184</v>
      </c>
      <c r="F48" s="14"/>
      <c r="G48" s="70">
        <f>'Financial Highlights-BS'!G31</f>
        <v>135824297</v>
      </c>
      <c r="H48" s="14"/>
      <c r="I48" s="70">
        <f>+'Financial Highlights-BS'!I31</f>
        <v>135755752</v>
      </c>
      <c r="J48" s="14"/>
      <c r="K48" s="70">
        <f>+'Financial Highlights-BS'!K31</f>
        <v>135511183</v>
      </c>
    </row>
    <row r="50" spans="1:5" ht="15">
      <c r="A50" s="14" t="s">
        <v>315</v>
      </c>
      <c r="B50" s="2"/>
      <c r="C50" s="2"/>
      <c r="D50" s="2"/>
      <c r="E50" s="2"/>
    </row>
    <row r="51" spans="1:11" ht="13.5" customHeight="1">
      <c r="A51" s="335" t="s">
        <v>187</v>
      </c>
      <c r="B51" s="335"/>
      <c r="C51" s="335"/>
      <c r="D51" s="335"/>
      <c r="E51" s="335"/>
      <c r="F51" s="335"/>
      <c r="G51" s="335"/>
      <c r="H51" s="335"/>
      <c r="I51" s="335"/>
      <c r="J51" s="335"/>
      <c r="K51" s="335"/>
    </row>
  </sheetData>
  <mergeCells count="1">
    <mergeCell ref="A51:K51"/>
  </mergeCells>
  <printOptions horizontalCentered="1" verticalCentered="1"/>
  <pageMargins left="0.35" right="0.46" top="1" bottom="0.75" header="0.5" footer="0.5"/>
  <pageSetup horizontalDpi="600" verticalDpi="600" orientation="landscape" scale="63" r:id="rId2"/>
  <headerFooter alignWithMargins="0">
    <oddHeader>&amp;L&amp;G&amp;C&amp;"Optima,Bold"&amp;18CONSOLIDATED BALANCE SHEETS
&amp;"Optima,Regular"&amp;12(U.S. dollars in thousands, except share and per share amounts)
(Unaudited)</oddHeader>
    <oddFooter>&amp;C&amp;"Optima,Regular"25</oddFooter>
  </headerFooter>
  <legacyDrawingHF r:id="rId1"/>
</worksheet>
</file>

<file path=xl/worksheets/sheet34.xml><?xml version="1.0" encoding="utf-8"?>
<worksheet xmlns="http://schemas.openxmlformats.org/spreadsheetml/2006/main" xmlns:r="http://schemas.openxmlformats.org/officeDocument/2006/relationships">
  <sheetPr codeName="Sheet29"/>
  <dimension ref="A1:K34"/>
  <sheetViews>
    <sheetView workbookViewId="0" topLeftCell="A10">
      <selection activeCell="D24" sqref="D24"/>
    </sheetView>
  </sheetViews>
  <sheetFormatPr defaultColWidth="9.140625" defaultRowHeight="12.75"/>
  <cols>
    <col min="1" max="1" width="68.140625" style="1" customWidth="1"/>
    <col min="2" max="2" width="21.140625" style="1" customWidth="1"/>
    <col min="3" max="3" width="5.00390625" style="1" customWidth="1"/>
    <col min="4" max="4" width="11.57421875" style="1" customWidth="1"/>
    <col min="5" max="5" width="8.00390625" style="1" customWidth="1"/>
    <col min="6" max="6" width="21.57421875" style="1" customWidth="1"/>
    <col min="7" max="7" width="6.140625" style="1" customWidth="1"/>
    <col min="8" max="16384" width="9.140625" style="1" customWidth="1"/>
  </cols>
  <sheetData>
    <row r="1" ht="13.5">
      <c r="B1" s="14"/>
    </row>
    <row r="2" spans="5:11" ht="13.5">
      <c r="E2" s="14"/>
      <c r="F2" s="14"/>
      <c r="G2" s="14"/>
      <c r="H2" s="14"/>
      <c r="I2" s="14"/>
      <c r="J2" s="14"/>
      <c r="K2" s="14"/>
    </row>
    <row r="3" spans="1:11" ht="15.75">
      <c r="A3" s="205"/>
      <c r="B3" s="3" t="s">
        <v>433</v>
      </c>
      <c r="C3" s="7"/>
      <c r="D3" s="3" t="s">
        <v>341</v>
      </c>
      <c r="E3" s="14"/>
      <c r="F3" s="3" t="s">
        <v>433</v>
      </c>
      <c r="H3" s="3" t="s">
        <v>341</v>
      </c>
      <c r="I3" s="14"/>
      <c r="J3" s="14"/>
      <c r="K3" s="14"/>
    </row>
    <row r="4" spans="1:8" ht="15.75">
      <c r="A4" s="7"/>
      <c r="B4" s="159" t="s">
        <v>27</v>
      </c>
      <c r="C4" s="7"/>
      <c r="D4" s="4" t="s">
        <v>357</v>
      </c>
      <c r="F4" s="159" t="s">
        <v>547</v>
      </c>
      <c r="H4" s="4" t="s">
        <v>357</v>
      </c>
    </row>
    <row r="5" spans="1:4" ht="15.75">
      <c r="A5" s="7"/>
      <c r="B5" s="7"/>
      <c r="C5" s="7"/>
      <c r="D5" s="7"/>
    </row>
    <row r="6" spans="1:4" ht="15.75">
      <c r="A6" s="5" t="s">
        <v>111</v>
      </c>
      <c r="B6" s="7"/>
      <c r="C6" s="7"/>
      <c r="D6" s="7"/>
    </row>
    <row r="7" spans="1:4" ht="15.75">
      <c r="A7" s="7"/>
      <c r="B7" s="7"/>
      <c r="C7" s="7"/>
      <c r="D7" s="7"/>
    </row>
    <row r="8" spans="1:8" ht="15.75">
      <c r="A8" s="66" t="s">
        <v>339</v>
      </c>
      <c r="B8" s="160">
        <v>10833704</v>
      </c>
      <c r="C8" s="7"/>
      <c r="D8" s="161">
        <f>B8/$B$13</f>
        <v>0.5965424700396337</v>
      </c>
      <c r="E8" s="22"/>
      <c r="F8" s="160">
        <v>10459502</v>
      </c>
      <c r="G8" s="7"/>
      <c r="H8" s="161">
        <v>0.598</v>
      </c>
    </row>
    <row r="9" spans="1:8" ht="15.75">
      <c r="A9" s="66" t="s">
        <v>311</v>
      </c>
      <c r="B9" s="162">
        <v>2534418</v>
      </c>
      <c r="C9" s="7"/>
      <c r="D9" s="161">
        <f>B9/$B$13</f>
        <v>0.13955411499454926</v>
      </c>
      <c r="E9" s="22"/>
      <c r="F9" s="162">
        <v>2132014</v>
      </c>
      <c r="G9" s="7"/>
      <c r="H9" s="161">
        <v>0.122</v>
      </c>
    </row>
    <row r="10" spans="1:8" ht="15.75">
      <c r="A10" s="66" t="s">
        <v>312</v>
      </c>
      <c r="B10" s="162">
        <v>2450202</v>
      </c>
      <c r="C10" s="7"/>
      <c r="D10" s="161">
        <f>B10/$B$13</f>
        <v>0.13491688098327687</v>
      </c>
      <c r="E10" s="22"/>
      <c r="F10" s="162">
        <v>2563837</v>
      </c>
      <c r="G10" s="7"/>
      <c r="H10" s="161">
        <v>0.147</v>
      </c>
    </row>
    <row r="11" spans="1:8" ht="15.75">
      <c r="A11" s="66" t="s">
        <v>340</v>
      </c>
      <c r="B11" s="162">
        <v>1411232</v>
      </c>
      <c r="C11" s="7"/>
      <c r="D11" s="161">
        <f>B11/$B$13</f>
        <v>0.07770747872371003</v>
      </c>
      <c r="E11" s="22"/>
      <c r="F11" s="162">
        <v>1397288</v>
      </c>
      <c r="G11" s="7"/>
      <c r="H11" s="161">
        <v>0.08</v>
      </c>
    </row>
    <row r="12" spans="1:8" ht="15.75">
      <c r="A12" s="66" t="s">
        <v>470</v>
      </c>
      <c r="B12" s="162">
        <v>931270</v>
      </c>
      <c r="C12" s="7"/>
      <c r="D12" s="161">
        <f>B12/B13</f>
        <v>0.05127905525883019</v>
      </c>
      <c r="E12" s="22"/>
      <c r="F12" s="162">
        <v>943621</v>
      </c>
      <c r="G12" s="7"/>
      <c r="H12" s="161">
        <v>0.053</v>
      </c>
    </row>
    <row r="13" spans="1:8" ht="16.5" thickBot="1">
      <c r="A13" s="66" t="s">
        <v>214</v>
      </c>
      <c r="B13" s="163">
        <f>SUM(B8:B12)</f>
        <v>18160826</v>
      </c>
      <c r="C13" s="7"/>
      <c r="D13" s="280">
        <f>SUM(D8:D12)</f>
        <v>0.9999999999999999</v>
      </c>
      <c r="F13" s="163">
        <f>SUM(F8:F12)</f>
        <v>17496262</v>
      </c>
      <c r="G13" s="7"/>
      <c r="H13" s="291">
        <f>SUM(H8:H12)</f>
        <v>1</v>
      </c>
    </row>
    <row r="14" spans="1:8" ht="16.5" thickTop="1">
      <c r="A14" s="6"/>
      <c r="B14" s="82"/>
      <c r="C14" s="7"/>
      <c r="D14" s="8"/>
      <c r="F14" s="82"/>
      <c r="G14" s="7"/>
      <c r="H14" s="8"/>
    </row>
    <row r="15" spans="1:8" ht="15.75">
      <c r="A15" s="5" t="s">
        <v>112</v>
      </c>
      <c r="B15" s="7"/>
      <c r="C15" s="7"/>
      <c r="D15" s="8"/>
      <c r="F15" s="7"/>
      <c r="G15" s="7"/>
      <c r="H15" s="8"/>
    </row>
    <row r="16" spans="1:8" ht="15.75">
      <c r="A16" s="7"/>
      <c r="B16" s="7"/>
      <c r="C16" s="7"/>
      <c r="D16" s="8"/>
      <c r="E16" s="22"/>
      <c r="F16" s="7"/>
      <c r="G16" s="7"/>
      <c r="H16" s="8"/>
    </row>
    <row r="17" spans="1:8" ht="15.75">
      <c r="A17" s="7" t="s">
        <v>430</v>
      </c>
      <c r="B17" s="160">
        <v>3787776</v>
      </c>
      <c r="C17" s="7"/>
      <c r="D17" s="161">
        <f aca="true" t="shared" si="0" ref="D17:D22">B17/$B$24</f>
        <v>0.20856848691794086</v>
      </c>
      <c r="E17" s="22"/>
      <c r="F17" s="160">
        <v>3969839</v>
      </c>
      <c r="G17" s="7"/>
      <c r="H17" s="161">
        <v>0.227</v>
      </c>
    </row>
    <row r="18" spans="1:8" ht="15.75">
      <c r="A18" s="7" t="s">
        <v>429</v>
      </c>
      <c r="B18" s="162">
        <v>3376893</v>
      </c>
      <c r="C18" s="7"/>
      <c r="D18" s="161">
        <f t="shared" si="0"/>
        <v>0.18594380013331993</v>
      </c>
      <c r="E18" s="22"/>
      <c r="F18" s="162">
        <v>3200355</v>
      </c>
      <c r="G18" s="7"/>
      <c r="H18" s="161">
        <v>0.183</v>
      </c>
    </row>
    <row r="19" spans="1:8" ht="15.75">
      <c r="A19" s="7" t="s">
        <v>362</v>
      </c>
      <c r="B19" s="162">
        <v>3152328</v>
      </c>
      <c r="C19" s="7"/>
      <c r="D19" s="161">
        <f t="shared" si="0"/>
        <v>0.17357844846924914</v>
      </c>
      <c r="E19" s="22"/>
      <c r="F19" s="162">
        <v>3557815</v>
      </c>
      <c r="G19" s="7"/>
      <c r="H19" s="161">
        <v>0.203</v>
      </c>
    </row>
    <row r="20" spans="1:8" ht="15.75">
      <c r="A20" s="7" t="s">
        <v>428</v>
      </c>
      <c r="B20" s="162">
        <v>2653913</v>
      </c>
      <c r="C20" s="7"/>
      <c r="D20" s="161">
        <f t="shared" si="0"/>
        <v>0.14613393685947984</v>
      </c>
      <c r="E20" s="22"/>
      <c r="F20" s="162">
        <v>2106145</v>
      </c>
      <c r="G20" s="7"/>
      <c r="H20" s="161">
        <v>0.12</v>
      </c>
    </row>
    <row r="21" spans="1:8" ht="15.75">
      <c r="A21" s="7" t="s">
        <v>440</v>
      </c>
      <c r="B21" s="162">
        <v>2447873</v>
      </c>
      <c r="C21" s="7"/>
      <c r="D21" s="161">
        <f t="shared" si="0"/>
        <v>0.13478863791768061</v>
      </c>
      <c r="E21" s="22"/>
      <c r="F21" s="162">
        <v>2193585</v>
      </c>
      <c r="G21" s="7"/>
      <c r="H21" s="161">
        <v>0.125</v>
      </c>
    </row>
    <row r="22" spans="1:8" ht="15.75">
      <c r="A22" s="7" t="s">
        <v>432</v>
      </c>
      <c r="B22" s="162">
        <v>2032225</v>
      </c>
      <c r="C22" s="7"/>
      <c r="D22" s="161">
        <f t="shared" si="0"/>
        <v>0.11190157319936879</v>
      </c>
      <c r="E22" s="22"/>
      <c r="F22" s="162">
        <v>1848205</v>
      </c>
      <c r="G22" s="7"/>
      <c r="H22" s="161">
        <v>0.106</v>
      </c>
    </row>
    <row r="23" spans="1:8" ht="15.75">
      <c r="A23" s="7" t="s">
        <v>431</v>
      </c>
      <c r="B23" s="162">
        <v>709818</v>
      </c>
      <c r="C23" s="7"/>
      <c r="D23" s="161">
        <f>B23/B24-0.001</f>
        <v>0.03808511650296082</v>
      </c>
      <c r="E23" s="22"/>
      <c r="F23" s="162">
        <v>620318</v>
      </c>
      <c r="G23" s="7"/>
      <c r="H23" s="161">
        <v>0.036</v>
      </c>
    </row>
    <row r="24" spans="1:8" ht="16.5" thickBot="1">
      <c r="A24" s="66" t="s">
        <v>214</v>
      </c>
      <c r="B24" s="163">
        <f>SUM(B17:B23)</f>
        <v>18160826</v>
      </c>
      <c r="C24" s="7"/>
      <c r="D24" s="280">
        <f>SUM(D17:D23)+0.001</f>
        <v>1</v>
      </c>
      <c r="E24" s="32"/>
      <c r="F24" s="163">
        <f>SUM(F17:F23)</f>
        <v>17496262</v>
      </c>
      <c r="G24" s="7"/>
      <c r="H24" s="291">
        <f>SUM(H17:H23)</f>
        <v>1</v>
      </c>
    </row>
    <row r="25" spans="1:8" ht="16.5" thickTop="1">
      <c r="A25" s="6"/>
      <c r="B25" s="85"/>
      <c r="C25" s="7"/>
      <c r="D25" s="93"/>
      <c r="E25" s="32"/>
      <c r="F25" s="85"/>
      <c r="G25" s="7"/>
      <c r="H25" s="93"/>
    </row>
    <row r="26" spans="1:8" ht="15.75">
      <c r="A26" s="5" t="s">
        <v>113</v>
      </c>
      <c r="B26" s="7"/>
      <c r="C26" s="7"/>
      <c r="D26" s="8"/>
      <c r="E26" s="22"/>
      <c r="F26" s="7"/>
      <c r="G26" s="7"/>
      <c r="H26" s="8"/>
    </row>
    <row r="27" spans="1:8" ht="15.75">
      <c r="A27" s="5"/>
      <c r="B27" s="7"/>
      <c r="C27" s="7"/>
      <c r="D27" s="8"/>
      <c r="E27" s="22"/>
      <c r="F27" s="7"/>
      <c r="G27" s="7"/>
      <c r="H27" s="8"/>
    </row>
    <row r="28" spans="1:8" ht="15.75">
      <c r="A28" s="7" t="s">
        <v>114</v>
      </c>
      <c r="B28" s="67" t="s">
        <v>135</v>
      </c>
      <c r="C28" s="7"/>
      <c r="D28" s="8"/>
      <c r="E28" s="22"/>
      <c r="F28" s="67" t="s">
        <v>136</v>
      </c>
      <c r="G28" s="7"/>
      <c r="H28" s="8"/>
    </row>
    <row r="29" spans="1:8" ht="15.75">
      <c r="A29" s="7" t="s">
        <v>133</v>
      </c>
      <c r="B29" s="128">
        <v>0.041</v>
      </c>
      <c r="C29" s="7"/>
      <c r="D29" s="7"/>
      <c r="F29" s="128">
        <v>0.045</v>
      </c>
      <c r="G29" s="7"/>
      <c r="H29" s="7"/>
    </row>
    <row r="30" spans="1:8" ht="15.75">
      <c r="A30" s="7" t="s">
        <v>409</v>
      </c>
      <c r="B30" s="11" t="s">
        <v>311</v>
      </c>
      <c r="C30" s="7"/>
      <c r="D30" s="7"/>
      <c r="F30" s="11" t="s">
        <v>311</v>
      </c>
      <c r="G30" s="7"/>
      <c r="H30" s="7"/>
    </row>
    <row r="31" ht="15.75">
      <c r="B31" s="128"/>
    </row>
    <row r="32" ht="13.5">
      <c r="A32" s="14" t="s">
        <v>315</v>
      </c>
    </row>
    <row r="33" spans="1:5" ht="13.5" customHeight="1">
      <c r="A33" s="332" t="s">
        <v>215</v>
      </c>
      <c r="B33" s="332"/>
      <c r="C33" s="332"/>
      <c r="D33" s="332"/>
      <c r="E33" s="332"/>
    </row>
    <row r="34" spans="1:8" ht="13.5">
      <c r="A34" s="335" t="s">
        <v>134</v>
      </c>
      <c r="B34" s="335"/>
      <c r="C34" s="335"/>
      <c r="D34" s="335"/>
      <c r="E34" s="335"/>
      <c r="F34" s="335"/>
      <c r="G34" s="335"/>
      <c r="H34" s="335"/>
    </row>
  </sheetData>
  <mergeCells count="2">
    <mergeCell ref="A33:E33"/>
    <mergeCell ref="A34:H34"/>
  </mergeCells>
  <printOptions horizontalCentered="1" verticalCentered="1"/>
  <pageMargins left="0.4" right="0.75" top="1.13" bottom="0.64" header="0.5" footer="0.4"/>
  <pageSetup horizontalDpi="600" verticalDpi="600" orientation="landscape" scale="70" r:id="rId2"/>
  <headerFooter alignWithMargins="0">
    <oddHeader>&amp;L&amp;G&amp;C&amp;"Optima,Bold"&amp;18SUMMARY FIXED INCOME PORTFOLIO INFORMATION
&amp;"Optima,Regular"&amp;12(U.S. dollars in thousands)
(Unaudited)</oddHeader>
    <oddFooter>&amp;C&amp;"Optima,Regular"26</oddFooter>
  </headerFooter>
  <legacyDrawingHF r:id="rId1"/>
</worksheet>
</file>

<file path=xl/worksheets/sheet35.xml><?xml version="1.0" encoding="utf-8"?>
<worksheet xmlns="http://schemas.openxmlformats.org/spreadsheetml/2006/main" xmlns:r="http://schemas.openxmlformats.org/officeDocument/2006/relationships">
  <dimension ref="B1:K104"/>
  <sheetViews>
    <sheetView zoomScale="110" zoomScaleNormal="110" workbookViewId="0" topLeftCell="A1">
      <selection activeCell="C5" sqref="C5"/>
    </sheetView>
  </sheetViews>
  <sheetFormatPr defaultColWidth="9.140625" defaultRowHeight="11.25" customHeight="1"/>
  <cols>
    <col min="1" max="1" width="10.57421875" style="7" customWidth="1"/>
    <col min="2" max="2" width="48.140625" style="7" customWidth="1"/>
    <col min="3" max="3" width="20.28125" style="7" customWidth="1"/>
    <col min="4" max="4" width="7.7109375" style="7" customWidth="1"/>
    <col min="5" max="5" width="21.421875" style="7" customWidth="1"/>
    <col min="6" max="6" width="11.57421875" style="246" customWidth="1"/>
    <col min="7" max="7" width="12.28125" style="7" customWidth="1"/>
    <col min="8" max="8" width="10.140625" style="11" customWidth="1"/>
    <col min="9" max="16384" width="9.140625" style="7" customWidth="1"/>
  </cols>
  <sheetData>
    <row r="1" spans="2:8" ht="13.5" customHeight="1">
      <c r="B1" s="244"/>
      <c r="C1" s="244"/>
      <c r="D1" s="244"/>
      <c r="E1" s="244"/>
      <c r="F1" s="244"/>
      <c r="G1" s="244"/>
      <c r="H1" s="244"/>
    </row>
    <row r="2" spans="2:5" ht="13.5" customHeight="1">
      <c r="B2" s="11"/>
      <c r="C2" s="245" t="s">
        <v>433</v>
      </c>
      <c r="D2" s="245"/>
      <c r="E2" s="245" t="s">
        <v>433</v>
      </c>
    </row>
    <row r="3" spans="2:5" ht="16.5" customHeight="1">
      <c r="B3" s="215"/>
      <c r="C3" s="330" t="s">
        <v>27</v>
      </c>
      <c r="D3" s="247"/>
      <c r="E3" s="330" t="s">
        <v>547</v>
      </c>
    </row>
    <row r="4" ht="13.5" customHeight="1">
      <c r="B4" s="248"/>
    </row>
    <row r="5" spans="2:5" ht="15.75">
      <c r="B5" s="5"/>
      <c r="C5" s="5"/>
      <c r="D5" s="5"/>
      <c r="E5" s="5"/>
    </row>
    <row r="6" spans="2:7" ht="15.75">
      <c r="B6" s="246" t="s">
        <v>84</v>
      </c>
      <c r="C6" s="249">
        <f>15294620/1000</f>
        <v>15294.62</v>
      </c>
      <c r="D6" s="249"/>
      <c r="E6" s="249">
        <f>14482647/1000</f>
        <v>14482.647</v>
      </c>
      <c r="F6" s="250"/>
      <c r="G6" s="251"/>
    </row>
    <row r="7" spans="2:6" ht="15.75">
      <c r="B7" s="246" t="s">
        <v>85</v>
      </c>
      <c r="C7" s="252">
        <f>530306/1000</f>
        <v>530.306</v>
      </c>
      <c r="D7" s="252"/>
      <c r="E7" s="252">
        <f>575010/1000</f>
        <v>575.01</v>
      </c>
      <c r="F7" s="250"/>
    </row>
    <row r="8" spans="2:7" ht="15.75">
      <c r="B8" s="253" t="s">
        <v>86</v>
      </c>
      <c r="C8" s="315">
        <f>1382347/1000</f>
        <v>1382.347</v>
      </c>
      <c r="D8" s="254"/>
      <c r="E8" s="315">
        <f>1002076/1000</f>
        <v>1002.076</v>
      </c>
      <c r="F8" s="255"/>
      <c r="G8" s="162"/>
    </row>
    <row r="9" spans="2:7" ht="15.75">
      <c r="B9" s="256" t="s">
        <v>95</v>
      </c>
      <c r="C9" s="243">
        <f>SUM(C6:C8)</f>
        <v>17207.273</v>
      </c>
      <c r="D9" s="243"/>
      <c r="E9" s="243">
        <f>SUM(E6:E8)</f>
        <v>16059.733</v>
      </c>
      <c r="F9" s="241"/>
      <c r="G9" s="162"/>
    </row>
    <row r="10" spans="2:11" ht="15.75">
      <c r="B10" s="253"/>
      <c r="C10" s="257"/>
      <c r="D10" s="257"/>
      <c r="E10" s="257"/>
      <c r="F10" s="257"/>
      <c r="G10" s="251"/>
      <c r="H10" s="258"/>
      <c r="J10" s="251"/>
      <c r="K10" s="259"/>
    </row>
    <row r="11" spans="2:11" ht="15.75">
      <c r="B11" s="253" t="s">
        <v>87</v>
      </c>
      <c r="C11" s="260">
        <f>3152328/1000</f>
        <v>3152.328</v>
      </c>
      <c r="D11" s="260"/>
      <c r="E11" s="260">
        <f>3557815/1000</f>
        <v>3557.815</v>
      </c>
      <c r="F11" s="257"/>
      <c r="G11" s="251"/>
      <c r="H11" s="258"/>
      <c r="J11" s="251"/>
      <c r="K11" s="259"/>
    </row>
    <row r="12" spans="2:11" ht="15.75">
      <c r="B12" s="253" t="s">
        <v>88</v>
      </c>
      <c r="C12" s="261">
        <f>1729593/1000</f>
        <v>1729.593</v>
      </c>
      <c r="D12" s="261"/>
      <c r="E12" s="261">
        <f>1750005/1000</f>
        <v>1750.005</v>
      </c>
      <c r="F12" s="257"/>
      <c r="G12" s="262"/>
      <c r="H12" s="262"/>
      <c r="J12" s="251"/>
      <c r="K12" s="259"/>
    </row>
    <row r="13" spans="2:10" ht="15.75">
      <c r="B13" s="253" t="s">
        <v>89</v>
      </c>
      <c r="C13" s="261">
        <f>166939/1000</f>
        <v>166.939</v>
      </c>
      <c r="D13" s="261"/>
      <c r="E13" s="261">
        <f>146061/1000</f>
        <v>146.061</v>
      </c>
      <c r="F13" s="257"/>
      <c r="G13" s="263"/>
      <c r="H13" s="263"/>
      <c r="J13" s="251"/>
    </row>
    <row r="14" spans="2:8" ht="15.75">
      <c r="B14" s="253" t="s">
        <v>90</v>
      </c>
      <c r="C14" s="261">
        <f>225104/1000</f>
        <v>225.104</v>
      </c>
      <c r="D14" s="261"/>
      <c r="E14" s="261">
        <v>226</v>
      </c>
      <c r="F14" s="257"/>
      <c r="G14" s="251"/>
      <c r="H14" s="251"/>
    </row>
    <row r="15" spans="2:6" ht="15.75">
      <c r="B15" s="253" t="s">
        <v>91</v>
      </c>
      <c r="C15" s="264" t="s">
        <v>92</v>
      </c>
      <c r="D15" s="264"/>
      <c r="E15" s="264">
        <v>0</v>
      </c>
      <c r="F15" s="257"/>
    </row>
    <row r="16" spans="2:6" ht="15.75">
      <c r="B16" s="253" t="s">
        <v>93</v>
      </c>
      <c r="C16" s="315">
        <f>-1668469/1000</f>
        <v>-1668.469</v>
      </c>
      <c r="D16" s="254"/>
      <c r="E16" s="315">
        <f>-1546276/1000</f>
        <v>-1546.276</v>
      </c>
      <c r="F16" s="255"/>
    </row>
    <row r="17" spans="2:6" ht="13.5" customHeight="1">
      <c r="B17" s="265"/>
      <c r="C17" s="243">
        <f>SUM(C11:C16)+1</f>
        <v>3606.495000000001</v>
      </c>
      <c r="D17" s="243"/>
      <c r="E17" s="243">
        <f>SUM(E11:E16)</f>
        <v>4133.605</v>
      </c>
      <c r="F17" s="241"/>
    </row>
    <row r="18" spans="2:6" ht="15.75">
      <c r="B18" s="253"/>
      <c r="C18" s="255"/>
      <c r="D18" s="255"/>
      <c r="E18" s="255"/>
      <c r="F18" s="255"/>
    </row>
    <row r="19" spans="2:6" ht="16.5" thickBot="1">
      <c r="B19" s="265" t="s">
        <v>94</v>
      </c>
      <c r="C19" s="314">
        <f>+C9+C17-1</f>
        <v>20812.768000000004</v>
      </c>
      <c r="D19" s="243"/>
      <c r="E19" s="314">
        <f>+E9+E17+1</f>
        <v>20194.338</v>
      </c>
      <c r="F19" s="241"/>
    </row>
    <row r="20" spans="2:5" ht="13.5" customHeight="1" thickTop="1">
      <c r="B20" s="266"/>
      <c r="C20" s="250"/>
      <c r="D20" s="250"/>
      <c r="E20" s="250"/>
    </row>
    <row r="21" spans="2:5" ht="13.5" customHeight="1">
      <c r="B21" s="267"/>
      <c r="C21" s="268"/>
      <c r="D21" s="268"/>
      <c r="E21" s="269"/>
    </row>
    <row r="22" spans="2:5" ht="13.5" customHeight="1">
      <c r="B22" s="270"/>
      <c r="C22" s="268"/>
      <c r="D22" s="268"/>
      <c r="E22" s="269"/>
    </row>
    <row r="23" spans="2:5" ht="13.5" customHeight="1">
      <c r="B23" s="270"/>
      <c r="C23" s="269"/>
      <c r="D23" s="269"/>
      <c r="E23" s="269"/>
    </row>
    <row r="24" spans="2:5" ht="13.5" customHeight="1">
      <c r="B24" s="270"/>
      <c r="C24" s="269"/>
      <c r="D24" s="269"/>
      <c r="E24" s="269"/>
    </row>
    <row r="25" spans="2:5" ht="13.5" customHeight="1">
      <c r="B25" s="266"/>
      <c r="C25" s="269"/>
      <c r="D25" s="269"/>
      <c r="E25" s="269"/>
    </row>
    <row r="26" spans="2:5" ht="13.5" customHeight="1">
      <c r="B26" s="265"/>
      <c r="C26" s="271"/>
      <c r="D26" s="271"/>
      <c r="E26" s="271"/>
    </row>
    <row r="27" spans="2:5" ht="13.5" customHeight="1">
      <c r="B27" s="270"/>
      <c r="C27" s="272"/>
      <c r="D27" s="272"/>
      <c r="E27" s="272"/>
    </row>
    <row r="28" spans="2:5" ht="13.5" customHeight="1">
      <c r="B28" s="270"/>
      <c r="C28" s="241"/>
      <c r="D28" s="241"/>
      <c r="E28" s="241"/>
    </row>
    <row r="29" spans="2:5" ht="13.5" customHeight="1">
      <c r="B29" s="270"/>
      <c r="C29" s="273"/>
      <c r="D29" s="273"/>
      <c r="E29" s="273"/>
    </row>
    <row r="30" spans="2:5" ht="13.5" customHeight="1">
      <c r="B30" s="266"/>
      <c r="C30" s="273"/>
      <c r="D30" s="273"/>
      <c r="E30" s="273"/>
    </row>
    <row r="31" spans="2:5" ht="13.5" customHeight="1">
      <c r="B31" s="266"/>
      <c r="C31" s="273"/>
      <c r="D31" s="273"/>
      <c r="E31" s="273"/>
    </row>
    <row r="32" spans="2:5" ht="7.5" customHeight="1">
      <c r="B32" s="274"/>
      <c r="C32" s="242"/>
      <c r="D32" s="242"/>
      <c r="E32" s="242"/>
    </row>
    <row r="33" spans="2:5" ht="11.25" customHeight="1">
      <c r="B33" s="275"/>
      <c r="C33" s="272"/>
      <c r="D33" s="272"/>
      <c r="E33" s="272"/>
    </row>
    <row r="34" spans="2:5" ht="11.25" customHeight="1">
      <c r="B34" s="275"/>
      <c r="C34" s="250"/>
      <c r="D34" s="250"/>
      <c r="E34" s="250"/>
    </row>
    <row r="35" spans="2:5" ht="11.25" customHeight="1">
      <c r="B35" s="275"/>
      <c r="C35" s="250"/>
      <c r="D35" s="250"/>
      <c r="E35" s="250"/>
    </row>
    <row r="36" spans="2:5" ht="11.25" customHeight="1">
      <c r="B36" s="275"/>
      <c r="C36" s="250"/>
      <c r="D36" s="250"/>
      <c r="E36" s="250"/>
    </row>
    <row r="37" spans="2:5" ht="11.25" customHeight="1">
      <c r="B37" s="275"/>
      <c r="C37" s="276"/>
      <c r="D37" s="276"/>
      <c r="E37" s="276"/>
    </row>
    <row r="38" spans="2:5" ht="11.25" customHeight="1">
      <c r="B38" s="277"/>
      <c r="C38" s="276"/>
      <c r="D38" s="276"/>
      <c r="E38" s="276"/>
    </row>
    <row r="39" spans="2:7" ht="11.25" customHeight="1">
      <c r="B39" s="277"/>
      <c r="C39" s="162"/>
      <c r="D39" s="162"/>
      <c r="E39" s="162"/>
      <c r="G39" s="251"/>
    </row>
    <row r="40" spans="2:5" ht="11.25" customHeight="1">
      <c r="B40" s="275"/>
      <c r="C40" s="162"/>
      <c r="D40" s="162"/>
      <c r="E40" s="162"/>
    </row>
    <row r="41" spans="5:8" s="270" customFormat="1" ht="11.25" customHeight="1">
      <c r="E41" s="252"/>
      <c r="H41" s="278"/>
    </row>
    <row r="42" spans="3:8" s="270" customFormat="1" ht="11.25" customHeight="1">
      <c r="C42" s="279"/>
      <c r="D42" s="279"/>
      <c r="E42" s="252"/>
      <c r="H42" s="278"/>
    </row>
    <row r="43" s="270" customFormat="1" ht="11.25" customHeight="1">
      <c r="H43" s="278"/>
    </row>
    <row r="44" s="270" customFormat="1" ht="11.25" customHeight="1">
      <c r="H44" s="278"/>
    </row>
    <row r="45" spans="5:8" s="270" customFormat="1" ht="11.25" customHeight="1">
      <c r="E45" s="279"/>
      <c r="H45" s="278"/>
    </row>
    <row r="46" spans="5:8" s="270" customFormat="1" ht="11.25" customHeight="1">
      <c r="E46" s="279"/>
      <c r="H46" s="278"/>
    </row>
    <row r="47" s="270" customFormat="1" ht="11.25" customHeight="1">
      <c r="H47" s="278"/>
    </row>
    <row r="48" s="270" customFormat="1" ht="11.25" customHeight="1">
      <c r="H48" s="278"/>
    </row>
    <row r="49" s="270" customFormat="1" ht="11.25" customHeight="1">
      <c r="H49" s="278"/>
    </row>
    <row r="50" s="270" customFormat="1" ht="11.25" customHeight="1">
      <c r="H50" s="278"/>
    </row>
    <row r="51" s="270" customFormat="1" ht="11.25" customHeight="1">
      <c r="H51" s="278"/>
    </row>
    <row r="52" s="270" customFormat="1" ht="11.25" customHeight="1">
      <c r="H52" s="278"/>
    </row>
    <row r="53" s="270" customFormat="1" ht="11.25" customHeight="1">
      <c r="H53" s="278"/>
    </row>
    <row r="54" s="270" customFormat="1" ht="11.25" customHeight="1">
      <c r="H54" s="278"/>
    </row>
    <row r="55" s="270" customFormat="1" ht="11.25" customHeight="1">
      <c r="H55" s="278"/>
    </row>
    <row r="56" s="270" customFormat="1" ht="11.25" customHeight="1">
      <c r="H56" s="278"/>
    </row>
    <row r="57" s="270" customFormat="1" ht="11.25" customHeight="1">
      <c r="H57" s="278"/>
    </row>
    <row r="58" s="270" customFormat="1" ht="11.25" customHeight="1">
      <c r="H58" s="278"/>
    </row>
    <row r="59" s="270" customFormat="1" ht="11.25" customHeight="1">
      <c r="H59" s="278"/>
    </row>
    <row r="60" s="270" customFormat="1" ht="11.25" customHeight="1">
      <c r="H60" s="278"/>
    </row>
    <row r="61" s="270" customFormat="1" ht="11.25" customHeight="1">
      <c r="H61" s="278"/>
    </row>
    <row r="62" s="270" customFormat="1" ht="11.25" customHeight="1">
      <c r="H62" s="278"/>
    </row>
    <row r="63" s="270" customFormat="1" ht="11.25" customHeight="1">
      <c r="H63" s="278"/>
    </row>
    <row r="64" s="270" customFormat="1" ht="11.25" customHeight="1">
      <c r="H64" s="278"/>
    </row>
    <row r="65" s="270" customFormat="1" ht="11.25" customHeight="1">
      <c r="H65" s="278"/>
    </row>
    <row r="66" s="270" customFormat="1" ht="11.25" customHeight="1">
      <c r="H66" s="278"/>
    </row>
    <row r="67" s="270" customFormat="1" ht="11.25" customHeight="1">
      <c r="H67" s="278"/>
    </row>
    <row r="68" s="270" customFormat="1" ht="11.25" customHeight="1">
      <c r="H68" s="278"/>
    </row>
    <row r="69" s="270" customFormat="1" ht="11.25" customHeight="1">
      <c r="H69" s="278"/>
    </row>
    <row r="70" s="270" customFormat="1" ht="11.25" customHeight="1">
      <c r="H70" s="278"/>
    </row>
    <row r="71" s="270" customFormat="1" ht="11.25" customHeight="1">
      <c r="H71" s="278"/>
    </row>
    <row r="72" s="270" customFormat="1" ht="11.25" customHeight="1">
      <c r="H72" s="278"/>
    </row>
    <row r="73" s="270" customFormat="1" ht="11.25" customHeight="1">
      <c r="H73" s="278"/>
    </row>
    <row r="74" s="270" customFormat="1" ht="11.25" customHeight="1">
      <c r="H74" s="278"/>
    </row>
    <row r="75" s="270" customFormat="1" ht="11.25" customHeight="1">
      <c r="H75" s="278"/>
    </row>
    <row r="76" s="270" customFormat="1" ht="11.25" customHeight="1">
      <c r="H76" s="278"/>
    </row>
    <row r="77" s="270" customFormat="1" ht="11.25" customHeight="1">
      <c r="H77" s="278"/>
    </row>
    <row r="78" s="270" customFormat="1" ht="11.25" customHeight="1">
      <c r="H78" s="278"/>
    </row>
    <row r="79" s="270" customFormat="1" ht="11.25" customHeight="1">
      <c r="H79" s="278"/>
    </row>
    <row r="80" s="270" customFormat="1" ht="11.25" customHeight="1">
      <c r="H80" s="278"/>
    </row>
    <row r="81" s="270" customFormat="1" ht="11.25" customHeight="1">
      <c r="H81" s="278"/>
    </row>
    <row r="82" s="270" customFormat="1" ht="11.25" customHeight="1">
      <c r="H82" s="278"/>
    </row>
    <row r="83" s="270" customFormat="1" ht="11.25" customHeight="1">
      <c r="H83" s="278"/>
    </row>
    <row r="84" s="270" customFormat="1" ht="11.25" customHeight="1">
      <c r="H84" s="278"/>
    </row>
    <row r="85" s="270" customFormat="1" ht="11.25" customHeight="1">
      <c r="H85" s="278"/>
    </row>
    <row r="86" s="270" customFormat="1" ht="11.25" customHeight="1">
      <c r="H86" s="278"/>
    </row>
    <row r="87" s="270" customFormat="1" ht="11.25" customHeight="1">
      <c r="H87" s="278"/>
    </row>
    <row r="88" s="270" customFormat="1" ht="11.25" customHeight="1">
      <c r="H88" s="278"/>
    </row>
    <row r="89" s="270" customFormat="1" ht="11.25" customHeight="1">
      <c r="H89" s="278"/>
    </row>
    <row r="90" s="270" customFormat="1" ht="11.25" customHeight="1">
      <c r="H90" s="278"/>
    </row>
    <row r="91" s="270" customFormat="1" ht="11.25" customHeight="1">
      <c r="H91" s="278"/>
    </row>
    <row r="92" s="270" customFormat="1" ht="11.25" customHeight="1">
      <c r="H92" s="278"/>
    </row>
    <row r="93" s="270" customFormat="1" ht="11.25" customHeight="1">
      <c r="H93" s="278"/>
    </row>
    <row r="94" s="270" customFormat="1" ht="11.25" customHeight="1">
      <c r="H94" s="278"/>
    </row>
    <row r="95" s="270" customFormat="1" ht="11.25" customHeight="1">
      <c r="H95" s="278"/>
    </row>
    <row r="96" s="270" customFormat="1" ht="11.25" customHeight="1">
      <c r="H96" s="278"/>
    </row>
    <row r="97" s="270" customFormat="1" ht="11.25" customHeight="1">
      <c r="H97" s="278"/>
    </row>
    <row r="98" s="270" customFormat="1" ht="11.25" customHeight="1">
      <c r="H98" s="278"/>
    </row>
    <row r="99" s="270" customFormat="1" ht="11.25" customHeight="1">
      <c r="H99" s="278"/>
    </row>
    <row r="100" s="270" customFormat="1" ht="11.25" customHeight="1">
      <c r="H100" s="278"/>
    </row>
    <row r="101" s="270" customFormat="1" ht="11.25" customHeight="1">
      <c r="H101" s="278"/>
    </row>
    <row r="102" s="270" customFormat="1" ht="11.25" customHeight="1">
      <c r="H102" s="278"/>
    </row>
    <row r="103" s="270" customFormat="1" ht="11.25" customHeight="1">
      <c r="H103" s="278"/>
    </row>
    <row r="104" s="270" customFormat="1" ht="11.25" customHeight="1">
      <c r="H104" s="278"/>
    </row>
  </sheetData>
  <printOptions horizontalCentered="1" verticalCentered="1"/>
  <pageMargins left="0.4" right="1.66" top="1.13" bottom="2.03" header="0.5" footer="0.4"/>
  <pageSetup horizontalDpi="600" verticalDpi="600" orientation="landscape" scale="70" r:id="rId2"/>
  <headerFooter alignWithMargins="0">
    <oddHeader>&amp;L&amp;G&amp;C&amp;"Optima,Bold"&amp;18INVESTMENT PORTFOLIO ANALYSIS
&amp;"Optima,Regular"&amp;12(U.S. dollars in millions)
(Unaudited)</oddHeader>
    <oddFooter>&amp;C&amp;"Optima,Regular"27</oddFooter>
  </headerFooter>
  <legacyDrawingHF r:id="rId1"/>
</worksheet>
</file>

<file path=xl/worksheets/sheet36.xml><?xml version="1.0" encoding="utf-8"?>
<worksheet xmlns="http://schemas.openxmlformats.org/spreadsheetml/2006/main" xmlns:r="http://schemas.openxmlformats.org/officeDocument/2006/relationships">
  <sheetPr codeName="Sheet40"/>
  <dimension ref="A1:K25"/>
  <sheetViews>
    <sheetView workbookViewId="0" topLeftCell="A3">
      <selection activeCell="B5" sqref="B5"/>
    </sheetView>
  </sheetViews>
  <sheetFormatPr defaultColWidth="9.140625" defaultRowHeight="12.75"/>
  <cols>
    <col min="1" max="1" width="68.140625" style="1" customWidth="1"/>
    <col min="2" max="2" width="20.140625" style="1" customWidth="1"/>
    <col min="3" max="3" width="14.8515625" style="1" customWidth="1"/>
    <col min="4" max="4" width="18.7109375" style="1" customWidth="1"/>
    <col min="5" max="5" width="8.00390625" style="1" customWidth="1"/>
    <col min="6" max="6" width="13.8515625" style="1" bestFit="1" customWidth="1"/>
    <col min="7" max="16384" width="9.140625" style="1" customWidth="1"/>
  </cols>
  <sheetData>
    <row r="1" ht="13.5">
      <c r="B1" s="14"/>
    </row>
    <row r="2" spans="5:11" ht="13.5">
      <c r="E2" s="14"/>
      <c r="F2" s="14"/>
      <c r="G2" s="14"/>
      <c r="H2" s="14"/>
      <c r="I2" s="14"/>
      <c r="J2" s="14"/>
      <c r="K2" s="14"/>
    </row>
    <row r="3" spans="1:11" ht="15.75">
      <c r="A3" s="81"/>
      <c r="B3" s="3" t="s">
        <v>433</v>
      </c>
      <c r="D3" s="3" t="s">
        <v>4</v>
      </c>
      <c r="E3" s="14"/>
      <c r="F3" s="14"/>
      <c r="G3" s="14"/>
      <c r="H3" s="14"/>
      <c r="I3" s="14"/>
      <c r="J3" s="14"/>
      <c r="K3" s="14"/>
    </row>
    <row r="4" spans="2:4" ht="15.75">
      <c r="B4" s="159" t="s">
        <v>27</v>
      </c>
      <c r="D4" s="4" t="s">
        <v>604</v>
      </c>
    </row>
    <row r="6" ht="15.75">
      <c r="A6" s="5" t="s">
        <v>138</v>
      </c>
    </row>
    <row r="8" spans="1:5" ht="15.75">
      <c r="A8" s="66" t="s">
        <v>6</v>
      </c>
      <c r="B8" s="160">
        <v>132592</v>
      </c>
      <c r="C8" s="7"/>
      <c r="D8" s="8">
        <v>0.0077</v>
      </c>
      <c r="E8" s="22"/>
    </row>
    <row r="9" spans="1:5" ht="15.75">
      <c r="A9" s="66" t="s">
        <v>5</v>
      </c>
      <c r="B9" s="162">
        <v>123581</v>
      </c>
      <c r="C9" s="7"/>
      <c r="D9" s="8">
        <v>0.0072</v>
      </c>
      <c r="E9" s="22"/>
    </row>
    <row r="10" spans="1:5" ht="15.75">
      <c r="A10" s="66" t="s">
        <v>7</v>
      </c>
      <c r="B10" s="162">
        <v>115823</v>
      </c>
      <c r="C10" s="7"/>
      <c r="D10" s="8">
        <v>0.0068</v>
      </c>
      <c r="E10" s="22"/>
    </row>
    <row r="11" spans="1:5" ht="15.75">
      <c r="A11" s="66" t="s">
        <v>96</v>
      </c>
      <c r="B11" s="162">
        <v>104108</v>
      </c>
      <c r="C11" s="7"/>
      <c r="D11" s="8">
        <v>0.0061</v>
      </c>
      <c r="E11" s="22"/>
    </row>
    <row r="12" spans="1:5" ht="15.75">
      <c r="A12" s="66" t="s">
        <v>8</v>
      </c>
      <c r="B12" s="162">
        <v>84096</v>
      </c>
      <c r="C12" s="7"/>
      <c r="D12" s="8">
        <v>0.0049</v>
      </c>
      <c r="E12" s="22"/>
    </row>
    <row r="13" spans="1:5" ht="15.75">
      <c r="A13" s="66" t="s">
        <v>10</v>
      </c>
      <c r="B13" s="162">
        <v>75190</v>
      </c>
      <c r="C13" s="7"/>
      <c r="D13" s="8">
        <v>0.0044</v>
      </c>
      <c r="E13" s="22"/>
    </row>
    <row r="14" spans="1:5" ht="15.75">
      <c r="A14" s="66" t="s">
        <v>11</v>
      </c>
      <c r="B14" s="162">
        <v>73474</v>
      </c>
      <c r="C14" s="7"/>
      <c r="D14" s="8">
        <v>0.0043</v>
      </c>
      <c r="E14" s="22"/>
    </row>
    <row r="15" spans="1:5" ht="15.75">
      <c r="A15" s="66" t="s">
        <v>97</v>
      </c>
      <c r="B15" s="162">
        <v>72368</v>
      </c>
      <c r="C15" s="7"/>
      <c r="D15" s="8">
        <v>0.0042</v>
      </c>
      <c r="E15" s="22"/>
    </row>
    <row r="16" spans="1:5" ht="15.75">
      <c r="A16" s="66" t="s">
        <v>9</v>
      </c>
      <c r="B16" s="162">
        <v>72158</v>
      </c>
      <c r="C16" s="7"/>
      <c r="D16" s="8">
        <v>0.0042</v>
      </c>
      <c r="E16" s="22"/>
    </row>
    <row r="17" spans="1:5" ht="15.75">
      <c r="A17" s="66" t="s">
        <v>98</v>
      </c>
      <c r="B17" s="162">
        <v>70333</v>
      </c>
      <c r="C17" s="7"/>
      <c r="D17" s="8">
        <v>0.0041</v>
      </c>
      <c r="E17" s="22"/>
    </row>
    <row r="18" spans="1:5" ht="15.75">
      <c r="A18" s="66"/>
      <c r="B18" s="162"/>
      <c r="C18" s="7"/>
      <c r="D18" s="8"/>
      <c r="E18" s="22"/>
    </row>
    <row r="19" spans="1:4" ht="15.75">
      <c r="A19" s="6"/>
      <c r="B19" s="82"/>
      <c r="C19" s="7"/>
      <c r="D19" s="8"/>
    </row>
    <row r="20" spans="1:4" ht="15.75">
      <c r="A20" s="7"/>
      <c r="B20" s="11"/>
      <c r="C20" s="7"/>
      <c r="D20" s="7"/>
    </row>
    <row r="22" ht="13.5">
      <c r="A22" s="14" t="s">
        <v>315</v>
      </c>
    </row>
    <row r="23" spans="1:4" ht="13.5" customHeight="1">
      <c r="A23" s="332" t="s">
        <v>257</v>
      </c>
      <c r="B23" s="332"/>
      <c r="C23" s="332"/>
      <c r="D23" s="332"/>
    </row>
    <row r="24" spans="1:4" ht="13.5">
      <c r="A24" s="332"/>
      <c r="B24" s="332"/>
      <c r="C24" s="332"/>
      <c r="D24" s="332"/>
    </row>
    <row r="25" spans="1:4" ht="13.5">
      <c r="A25" s="332"/>
      <c r="B25" s="332"/>
      <c r="C25" s="332"/>
      <c r="D25" s="332"/>
    </row>
  </sheetData>
  <mergeCells count="1">
    <mergeCell ref="A23:D25"/>
  </mergeCells>
  <printOptions horizontalCentered="1" verticalCentered="1"/>
  <pageMargins left="0.4" right="0.75" top="1.13" bottom="1.91" header="0.5" footer="0.4"/>
  <pageSetup horizontalDpi="600" verticalDpi="600" orientation="landscape" scale="70" r:id="rId2"/>
  <headerFooter alignWithMargins="0">
    <oddHeader>&amp;L&amp;G&amp;C&amp;"Optima,Bold"&amp;18INVESTMENT PORTFOLIO INFORMATION
ISSUER CREDIT EXPOSURE
&amp;"Optima,Regular"&amp;12(U.S. dollars in thousands)
(Unaudited)</oddHeader>
    <oddFooter>&amp;C&amp;"Optima,Regular"28</oddFooter>
  </headerFooter>
  <legacyDrawingHF r:id="rId1"/>
</worksheet>
</file>

<file path=xl/worksheets/sheet37.xml><?xml version="1.0" encoding="utf-8"?>
<worksheet xmlns="http://schemas.openxmlformats.org/spreadsheetml/2006/main" xmlns:r="http://schemas.openxmlformats.org/officeDocument/2006/relationships">
  <dimension ref="A2:I38"/>
  <sheetViews>
    <sheetView workbookViewId="0" topLeftCell="A19">
      <selection activeCell="A31" sqref="A31"/>
    </sheetView>
  </sheetViews>
  <sheetFormatPr defaultColWidth="9.140625" defaultRowHeight="12.75"/>
  <cols>
    <col min="1" max="1" width="37.7109375" style="1" customWidth="1"/>
    <col min="2" max="2" width="17.57421875" style="1" customWidth="1"/>
    <col min="3" max="4" width="17.7109375" style="1" bestFit="1" customWidth="1"/>
    <col min="5" max="5" width="8.421875" style="1" customWidth="1"/>
    <col min="6" max="6" width="28.00390625" style="1" customWidth="1"/>
    <col min="7" max="7" width="15.421875" style="1" customWidth="1"/>
    <col min="8" max="8" width="20.7109375" style="1" customWidth="1"/>
    <col min="9" max="9" width="17.28125" style="1" customWidth="1"/>
    <col min="10" max="16384" width="9.140625" style="1" customWidth="1"/>
  </cols>
  <sheetData>
    <row r="2" spans="2:9" ht="13.5">
      <c r="B2" s="13" t="s">
        <v>307</v>
      </c>
      <c r="C2" s="13" t="s">
        <v>307</v>
      </c>
      <c r="D2" s="13" t="s">
        <v>258</v>
      </c>
      <c r="G2" s="13" t="s">
        <v>307</v>
      </c>
      <c r="H2" s="13" t="s">
        <v>307</v>
      </c>
      <c r="I2" s="13" t="s">
        <v>258</v>
      </c>
    </row>
    <row r="3" spans="2:9" ht="13.5">
      <c r="B3" s="210" t="s">
        <v>27</v>
      </c>
      <c r="C3" s="210" t="s">
        <v>547</v>
      </c>
      <c r="D3" s="210" t="s">
        <v>547</v>
      </c>
      <c r="G3" s="210" t="s">
        <v>27</v>
      </c>
      <c r="H3" s="210" t="s">
        <v>547</v>
      </c>
      <c r="I3" s="210" t="s">
        <v>547</v>
      </c>
    </row>
    <row r="5" spans="1:6" ht="13.5">
      <c r="A5" s="14" t="s">
        <v>259</v>
      </c>
      <c r="F5" s="14" t="s">
        <v>276</v>
      </c>
    </row>
    <row r="6" spans="1:9" ht="13.5">
      <c r="A6" s="1" t="s">
        <v>260</v>
      </c>
      <c r="B6" s="32">
        <v>0.016</v>
      </c>
      <c r="C6" s="32">
        <v>0.017</v>
      </c>
      <c r="D6" s="32">
        <v>0.09</v>
      </c>
      <c r="F6" s="1" t="s">
        <v>278</v>
      </c>
      <c r="G6" s="32">
        <v>-0.012</v>
      </c>
      <c r="H6" s="32">
        <v>-0.003</v>
      </c>
      <c r="I6" s="32">
        <v>-0.301</v>
      </c>
    </row>
    <row r="7" spans="1:9" ht="13.5">
      <c r="A7" s="1" t="s">
        <v>261</v>
      </c>
      <c r="B7" s="284">
        <v>0.014</v>
      </c>
      <c r="C7" s="284">
        <v>0.016</v>
      </c>
      <c r="D7" s="284">
        <v>0.103</v>
      </c>
      <c r="F7" s="1" t="s">
        <v>279</v>
      </c>
      <c r="G7" s="284">
        <v>-0.011</v>
      </c>
      <c r="H7" s="284">
        <v>0.071</v>
      </c>
      <c r="I7" s="284">
        <v>-0.28</v>
      </c>
    </row>
    <row r="8" spans="1:9" ht="13.5">
      <c r="A8" s="1" t="s">
        <v>262</v>
      </c>
      <c r="B8" s="32">
        <f>B6-B7</f>
        <v>0.002</v>
      </c>
      <c r="C8" s="32">
        <f>C6-C7</f>
        <v>0.0010000000000000009</v>
      </c>
      <c r="D8" s="32">
        <f>D6-D7</f>
        <v>-0.012999999999999998</v>
      </c>
      <c r="F8" s="1" t="s">
        <v>262</v>
      </c>
      <c r="G8" s="32">
        <f>G6-G7</f>
        <v>-0.0010000000000000009</v>
      </c>
      <c r="H8" s="32">
        <f>H6-H7</f>
        <v>-0.074</v>
      </c>
      <c r="I8" s="32">
        <f>I6-I7</f>
        <v>-0.020999999999999963</v>
      </c>
    </row>
    <row r="10" spans="1:9" ht="13.5">
      <c r="A10" s="1" t="s">
        <v>263</v>
      </c>
      <c r="B10" s="32">
        <v>0.012</v>
      </c>
      <c r="C10" s="32">
        <v>0.019</v>
      </c>
      <c r="D10" s="32">
        <v>0.038</v>
      </c>
      <c r="F10" s="1" t="s">
        <v>280</v>
      </c>
      <c r="G10" s="32">
        <v>-0.038</v>
      </c>
      <c r="H10" s="32">
        <v>0.077</v>
      </c>
      <c r="I10" s="32">
        <v>-0.125</v>
      </c>
    </row>
    <row r="11" spans="1:9" ht="13.5">
      <c r="A11" s="1" t="s">
        <v>264</v>
      </c>
      <c r="B11" s="284">
        <v>0.006</v>
      </c>
      <c r="C11" s="284">
        <v>0.009</v>
      </c>
      <c r="D11" s="284">
        <v>0.058</v>
      </c>
      <c r="F11" s="1" t="s">
        <v>281</v>
      </c>
      <c r="G11" s="284">
        <v>-0.05</v>
      </c>
      <c r="H11" s="284">
        <v>0.091</v>
      </c>
      <c r="I11" s="284">
        <v>-0.158</v>
      </c>
    </row>
    <row r="12" spans="1:9" ht="13.5">
      <c r="A12" s="1" t="s">
        <v>262</v>
      </c>
      <c r="B12" s="32">
        <f>B10-B11</f>
        <v>0.006</v>
      </c>
      <c r="C12" s="32">
        <f>C10-C11</f>
        <v>0.01</v>
      </c>
      <c r="D12" s="32">
        <f>D10-D11</f>
        <v>-0.020000000000000004</v>
      </c>
      <c r="F12" s="1" t="s">
        <v>262</v>
      </c>
      <c r="G12" s="32">
        <f>G10-G11</f>
        <v>0.012000000000000004</v>
      </c>
      <c r="H12" s="32">
        <f>H10-H11</f>
        <v>-0.013999999999999999</v>
      </c>
      <c r="I12" s="32">
        <f>I10-I11</f>
        <v>0.033</v>
      </c>
    </row>
    <row r="14" spans="1:9" ht="13.5">
      <c r="A14" s="1" t="s">
        <v>265</v>
      </c>
      <c r="B14" s="32">
        <v>0.016</v>
      </c>
      <c r="C14" s="32">
        <v>0.026</v>
      </c>
      <c r="D14" s="32">
        <v>0.081</v>
      </c>
      <c r="F14" s="1" t="s">
        <v>282</v>
      </c>
      <c r="G14" s="32">
        <v>-0.029</v>
      </c>
      <c r="H14" s="32">
        <v>0.042</v>
      </c>
      <c r="I14" s="32">
        <v>-0.159</v>
      </c>
    </row>
    <row r="15" spans="1:9" ht="13.5">
      <c r="A15" s="1" t="s">
        <v>266</v>
      </c>
      <c r="B15" s="284">
        <v>0.02</v>
      </c>
      <c r="C15" s="284">
        <v>0.02</v>
      </c>
      <c r="D15" s="284">
        <v>0.095</v>
      </c>
      <c r="F15" s="1" t="s">
        <v>283</v>
      </c>
      <c r="G15" s="284">
        <v>-0.045</v>
      </c>
      <c r="H15" s="284">
        <v>0.061</v>
      </c>
      <c r="I15" s="284">
        <v>-0.206</v>
      </c>
    </row>
    <row r="16" spans="1:9" ht="13.5">
      <c r="A16" s="1" t="s">
        <v>262</v>
      </c>
      <c r="B16" s="32">
        <f>B14-B15</f>
        <v>-0.004</v>
      </c>
      <c r="C16" s="32">
        <f>C14-C15</f>
        <v>0.005999999999999998</v>
      </c>
      <c r="D16" s="32">
        <f>D14-D15</f>
        <v>-0.013999999999999999</v>
      </c>
      <c r="F16" s="1" t="s">
        <v>262</v>
      </c>
      <c r="G16" s="32">
        <f>G14-G15</f>
        <v>0.015999999999999997</v>
      </c>
      <c r="H16" s="32">
        <f>H14-H15</f>
        <v>-0.018999999999999996</v>
      </c>
      <c r="I16" s="32">
        <f>I14-I15</f>
        <v>0.046999999999999986</v>
      </c>
    </row>
    <row r="18" spans="1:9" ht="13.5">
      <c r="A18" s="1" t="s">
        <v>267</v>
      </c>
      <c r="B18" s="32">
        <v>0.038</v>
      </c>
      <c r="C18" s="32">
        <v>0.07</v>
      </c>
      <c r="D18" s="32">
        <v>0.231</v>
      </c>
      <c r="F18" s="1" t="s">
        <v>284</v>
      </c>
      <c r="G18" s="32">
        <v>-0.074</v>
      </c>
      <c r="H18" s="32">
        <v>0.036</v>
      </c>
      <c r="I18" s="32">
        <v>-0.161</v>
      </c>
    </row>
    <row r="19" spans="1:9" ht="13.5">
      <c r="A19" s="1" t="s">
        <v>268</v>
      </c>
      <c r="B19" s="284">
        <v>0.035</v>
      </c>
      <c r="C19" s="284">
        <v>0.063</v>
      </c>
      <c r="D19" s="284">
        <v>0.252</v>
      </c>
      <c r="F19" s="1" t="s">
        <v>285</v>
      </c>
      <c r="G19" s="284">
        <v>-0.082</v>
      </c>
      <c r="H19" s="284">
        <v>0.065</v>
      </c>
      <c r="I19" s="284">
        <v>-0.159</v>
      </c>
    </row>
    <row r="20" spans="1:9" ht="13.5">
      <c r="A20" s="1" t="s">
        <v>262</v>
      </c>
      <c r="B20" s="32">
        <f>B18-B19</f>
        <v>0.0029999999999999957</v>
      </c>
      <c r="C20" s="32">
        <f>C18-C19</f>
        <v>0.007000000000000006</v>
      </c>
      <c r="D20" s="32">
        <f>D18-D19</f>
        <v>-0.02099999999999999</v>
      </c>
      <c r="F20" s="1" t="s">
        <v>262</v>
      </c>
      <c r="G20" s="32">
        <f>G18-G19</f>
        <v>0.008000000000000007</v>
      </c>
      <c r="H20" s="32">
        <f>H18-H19</f>
        <v>-0.029000000000000005</v>
      </c>
      <c r="I20" s="32">
        <f>I18-I19</f>
        <v>-0.0020000000000000018</v>
      </c>
    </row>
    <row r="22" spans="1:4" ht="13.5">
      <c r="A22" s="1" t="s">
        <v>269</v>
      </c>
      <c r="B22" s="32">
        <v>0.018</v>
      </c>
      <c r="C22" s="32">
        <v>0.011</v>
      </c>
      <c r="D22" s="32">
        <v>0.085</v>
      </c>
    </row>
    <row r="23" spans="1:6" ht="13.5">
      <c r="A23" s="1" t="s">
        <v>270</v>
      </c>
      <c r="B23" s="284">
        <v>0.018</v>
      </c>
      <c r="C23" s="284">
        <v>0.013</v>
      </c>
      <c r="D23" s="284">
        <v>0.088</v>
      </c>
      <c r="F23" s="14" t="s">
        <v>277</v>
      </c>
    </row>
    <row r="24" spans="1:9" ht="13.5">
      <c r="A24" s="1" t="s">
        <v>262</v>
      </c>
      <c r="B24" s="32">
        <f>B22-B23</f>
        <v>0</v>
      </c>
      <c r="C24" s="32">
        <f>C22-C23</f>
        <v>-0.002</v>
      </c>
      <c r="D24" s="32">
        <f>D22-D23</f>
        <v>-0.002999999999999989</v>
      </c>
      <c r="F24" s="1" t="s">
        <v>286</v>
      </c>
      <c r="G24" s="32">
        <v>0.017</v>
      </c>
      <c r="H24" s="32">
        <v>0.026</v>
      </c>
      <c r="I24" s="32">
        <v>0.067</v>
      </c>
    </row>
    <row r="25" spans="6:9" ht="13.5">
      <c r="F25" s="1" t="s">
        <v>287</v>
      </c>
      <c r="G25" s="284">
        <v>-0.031</v>
      </c>
      <c r="H25" s="284">
        <v>0.084</v>
      </c>
      <c r="I25" s="284">
        <v>-0.221</v>
      </c>
    </row>
    <row r="26" spans="6:9" ht="13.5">
      <c r="F26" s="1" t="s">
        <v>262</v>
      </c>
      <c r="G26" s="32">
        <f>G24-G25</f>
        <v>0.048</v>
      </c>
      <c r="H26" s="32">
        <f>H24-H25</f>
        <v>-0.05800000000000001</v>
      </c>
      <c r="I26" s="32">
        <f>I24-I25</f>
        <v>0.28800000000000003</v>
      </c>
    </row>
    <row r="27" ht="13.5">
      <c r="A27" s="14" t="s">
        <v>271</v>
      </c>
    </row>
    <row r="28" spans="1:4" ht="13.5">
      <c r="A28" s="1" t="s">
        <v>272</v>
      </c>
      <c r="B28" s="32">
        <v>0.05</v>
      </c>
      <c r="C28" s="32">
        <v>0.059</v>
      </c>
      <c r="D28" s="32">
        <v>0.01</v>
      </c>
    </row>
    <row r="29" spans="1:4" ht="13.5">
      <c r="A29" s="1" t="s">
        <v>273</v>
      </c>
      <c r="B29" s="284">
        <v>0.036</v>
      </c>
      <c r="C29" s="284">
        <v>0.047</v>
      </c>
      <c r="D29" s="284">
        <v>0.079</v>
      </c>
    </row>
    <row r="30" spans="1:4" ht="13.5">
      <c r="A30" s="1" t="s">
        <v>262</v>
      </c>
      <c r="B30" s="32">
        <f>B28-B29</f>
        <v>0.014000000000000005</v>
      </c>
      <c r="C30" s="32">
        <f>C28-C29</f>
        <v>0.011999999999999997</v>
      </c>
      <c r="D30" s="32">
        <f>D28-D29</f>
        <v>-0.069</v>
      </c>
    </row>
    <row r="32" spans="1:4" ht="13.5">
      <c r="A32" s="1" t="s">
        <v>274</v>
      </c>
      <c r="B32" s="32">
        <v>0.049</v>
      </c>
      <c r="C32" s="32">
        <v>0.071</v>
      </c>
      <c r="D32" s="32">
        <v>-0.043</v>
      </c>
    </row>
    <row r="33" spans="1:4" ht="13.5">
      <c r="A33" s="1" t="s">
        <v>275</v>
      </c>
      <c r="B33" s="284">
        <v>0.069</v>
      </c>
      <c r="C33" s="284">
        <v>0.059</v>
      </c>
      <c r="D33" s="284">
        <v>0.031</v>
      </c>
    </row>
    <row r="34" spans="1:4" ht="13.5">
      <c r="A34" s="1" t="s">
        <v>262</v>
      </c>
      <c r="B34" s="32">
        <f>B32-B33</f>
        <v>-0.020000000000000004</v>
      </c>
      <c r="C34" s="32">
        <f>C32-C33</f>
        <v>0.011999999999999997</v>
      </c>
      <c r="D34" s="32">
        <f>D32-D33</f>
        <v>-0.074</v>
      </c>
    </row>
    <row r="36" ht="13.5">
      <c r="A36" s="14" t="s">
        <v>315</v>
      </c>
    </row>
    <row r="37" ht="13.5">
      <c r="A37" s="1" t="s">
        <v>139</v>
      </c>
    </row>
    <row r="38" spans="1:7" ht="13.5" customHeight="1">
      <c r="A38" s="335" t="s">
        <v>288</v>
      </c>
      <c r="B38" s="335"/>
      <c r="C38" s="335"/>
      <c r="D38" s="335"/>
      <c r="E38" s="335"/>
      <c r="F38" s="335"/>
      <c r="G38" s="335"/>
    </row>
  </sheetData>
  <mergeCells count="1">
    <mergeCell ref="A38:G38"/>
  </mergeCells>
  <printOptions horizontalCentered="1" verticalCentered="1"/>
  <pageMargins left="0.45" right="0.4" top="1.5" bottom="2.03" header="0.5" footer="0.5"/>
  <pageSetup horizontalDpi="300" verticalDpi="300" orientation="landscape" scale="70" r:id="rId2"/>
  <headerFooter alignWithMargins="0">
    <oddHeader>&amp;L&amp;G&amp;C&amp;"Optima,Bold"&amp;18INVESTMENT PERFORMANCE BENCHMARKS
&amp;"Optima,Regular"&amp;12(Unaudited)</oddHeader>
    <oddFooter>&amp;C&amp;"Optima,Regular"29</oddFooter>
  </headerFooter>
  <legacyDrawingHF r:id="rId1"/>
</worksheet>
</file>

<file path=xl/worksheets/sheet38.xml><?xml version="1.0" encoding="utf-8"?>
<worksheet xmlns="http://schemas.openxmlformats.org/spreadsheetml/2006/main" xmlns:r="http://schemas.openxmlformats.org/officeDocument/2006/relationships">
  <dimension ref="A2:H20"/>
  <sheetViews>
    <sheetView tabSelected="1" workbookViewId="0" topLeftCell="A1">
      <selection activeCell="D8" sqref="D8"/>
    </sheetView>
  </sheetViews>
  <sheetFormatPr defaultColWidth="9.140625" defaultRowHeight="12.75"/>
  <cols>
    <col min="1" max="1" width="21.421875" style="7" customWidth="1"/>
    <col min="2" max="2" width="4.8515625" style="7" customWidth="1"/>
    <col min="3" max="3" width="39.00390625" style="7" customWidth="1"/>
    <col min="4" max="5" width="4.8515625" style="7" customWidth="1"/>
    <col min="6" max="6" width="21.00390625" style="7" customWidth="1"/>
    <col min="7" max="7" width="4.8515625" style="7" customWidth="1"/>
    <col min="8" max="8" width="21.421875" style="7" customWidth="1"/>
    <col min="9" max="9" width="4.8515625" style="7" customWidth="1"/>
    <col min="10" max="16384" width="9.140625" style="7" customWidth="1"/>
  </cols>
  <sheetData>
    <row r="2" spans="6:8" ht="15.75">
      <c r="F2" s="341" t="s">
        <v>67</v>
      </c>
      <c r="G2" s="341"/>
      <c r="H2" s="341"/>
    </row>
    <row r="4" spans="1:8" ht="47.25">
      <c r="A4" s="292" t="s">
        <v>216</v>
      </c>
      <c r="B4" s="292"/>
      <c r="C4" s="293" t="s">
        <v>217</v>
      </c>
      <c r="D4" s="294"/>
      <c r="E4" s="294"/>
      <c r="F4" s="293" t="s">
        <v>140</v>
      </c>
      <c r="G4" s="295"/>
      <c r="H4" s="293" t="s">
        <v>141</v>
      </c>
    </row>
    <row r="5" spans="1:8" ht="9" customHeight="1">
      <c r="A5" s="296"/>
      <c r="B5" s="296"/>
      <c r="C5" s="294"/>
      <c r="D5" s="294"/>
      <c r="E5" s="294"/>
      <c r="F5" s="294"/>
      <c r="G5" s="295"/>
      <c r="H5" s="294"/>
    </row>
    <row r="6" spans="1:8" ht="31.5">
      <c r="A6" s="295" t="s">
        <v>218</v>
      </c>
      <c r="B6" s="297"/>
      <c r="C6" s="7" t="s">
        <v>219</v>
      </c>
      <c r="E6" s="6" t="s">
        <v>220</v>
      </c>
      <c r="F6" s="298">
        <v>38471</v>
      </c>
      <c r="G6" s="299" t="s">
        <v>220</v>
      </c>
      <c r="H6" s="298">
        <v>48188</v>
      </c>
    </row>
    <row r="7" spans="3:8" ht="15.75">
      <c r="C7" s="7" t="s">
        <v>221</v>
      </c>
      <c r="F7" s="298">
        <v>28013</v>
      </c>
      <c r="G7" s="299"/>
      <c r="H7" s="298">
        <v>47502</v>
      </c>
    </row>
    <row r="8" spans="3:8" ht="15.75">
      <c r="C8" s="7" t="s">
        <v>222</v>
      </c>
      <c r="F8" s="298">
        <v>17043</v>
      </c>
      <c r="G8" s="299"/>
      <c r="H8" s="298">
        <v>44879</v>
      </c>
    </row>
    <row r="9" spans="3:8" ht="15.75">
      <c r="C9" s="7" t="s">
        <v>223</v>
      </c>
      <c r="F9" s="298">
        <f>920+78+39</f>
        <v>1037</v>
      </c>
      <c r="G9" s="299"/>
      <c r="H9" s="298">
        <v>1375</v>
      </c>
    </row>
    <row r="10" spans="3:8" ht="16.5" thickBot="1">
      <c r="C10" s="5" t="s">
        <v>357</v>
      </c>
      <c r="D10" s="5"/>
      <c r="E10" s="215" t="s">
        <v>220</v>
      </c>
      <c r="F10" s="300">
        <f>SUM(F6:F9)</f>
        <v>84564</v>
      </c>
      <c r="G10" s="301" t="s">
        <v>220</v>
      </c>
      <c r="H10" s="300">
        <v>141944</v>
      </c>
    </row>
    <row r="11" spans="6:8" ht="16.5" thickTop="1">
      <c r="F11" s="298"/>
      <c r="G11" s="302"/>
      <c r="H11" s="298"/>
    </row>
    <row r="12" spans="6:8" ht="15.75">
      <c r="F12" s="298"/>
      <c r="G12" s="302"/>
      <c r="H12" s="298"/>
    </row>
    <row r="13" spans="1:8" ht="15.75">
      <c r="A13" s="11" t="s">
        <v>224</v>
      </c>
      <c r="C13" s="7" t="s">
        <v>219</v>
      </c>
      <c r="F13" s="298">
        <v>21898</v>
      </c>
      <c r="G13" s="302"/>
      <c r="H13" s="298">
        <v>20972</v>
      </c>
    </row>
    <row r="14" spans="3:8" ht="15.75">
      <c r="C14" s="7" t="s">
        <v>221</v>
      </c>
      <c r="F14" s="298">
        <v>27615</v>
      </c>
      <c r="G14" s="302"/>
      <c r="H14" s="298">
        <v>62859</v>
      </c>
    </row>
    <row r="15" spans="3:8" ht="15.75">
      <c r="C15" s="7" t="s">
        <v>222</v>
      </c>
      <c r="F15" s="298">
        <v>4370</v>
      </c>
      <c r="G15" s="302"/>
      <c r="H15" s="298">
        <v>2672</v>
      </c>
    </row>
    <row r="16" spans="3:8" ht="15.75">
      <c r="C16" s="7" t="s">
        <v>223</v>
      </c>
      <c r="F16" s="298">
        <f>1274+57</f>
        <v>1331</v>
      </c>
      <c r="G16" s="302"/>
      <c r="H16" s="298">
        <v>367</v>
      </c>
    </row>
    <row r="17" spans="3:8" ht="16.5" thickBot="1">
      <c r="C17" s="5" t="s">
        <v>357</v>
      </c>
      <c r="D17" s="5"/>
      <c r="E17" s="215" t="s">
        <v>220</v>
      </c>
      <c r="F17" s="300">
        <f>SUM(F13:F16)</f>
        <v>55214</v>
      </c>
      <c r="G17" s="302" t="s">
        <v>220</v>
      </c>
      <c r="H17" s="300">
        <v>86870</v>
      </c>
    </row>
    <row r="18" spans="5:8" ht="16.5" thickTop="1">
      <c r="E18" s="5"/>
      <c r="G18" s="5"/>
      <c r="H18" s="298"/>
    </row>
    <row r="19" spans="5:8" ht="15.75">
      <c r="E19" s="5"/>
      <c r="G19" s="5"/>
      <c r="H19" s="298"/>
    </row>
    <row r="20" spans="5:7" ht="15.75">
      <c r="E20" s="5"/>
      <c r="G20" s="5"/>
    </row>
  </sheetData>
  <mergeCells count="1">
    <mergeCell ref="F2:H2"/>
  </mergeCells>
  <printOptions horizontalCentered="1" verticalCentered="1"/>
  <pageMargins left="0.75" right="0.75" top="1" bottom="2.63" header="0.5" footer="0.5"/>
  <pageSetup horizontalDpi="300" verticalDpi="300" orientation="landscape" scale="70" r:id="rId2"/>
  <headerFooter alignWithMargins="0">
    <oddHeader>&amp;L&amp;G&amp;C&amp;"Optima,Bold"&amp;18INVESTMENT PORTFOLIO AGING SCHEDULE&amp;"Optima,Regular"&amp;14
&amp;12(U.S. Dollars in thousands)
(Unaudited)</oddHeader>
    <oddFooter>&amp;C&amp;"Optima,Regular"30</oddFooter>
  </headerFooter>
  <legacyDrawingHF r:id="rId1"/>
</worksheet>
</file>

<file path=xl/worksheets/sheet39.xml><?xml version="1.0" encoding="utf-8"?>
<worksheet xmlns="http://schemas.openxmlformats.org/spreadsheetml/2006/main" xmlns:r="http://schemas.openxmlformats.org/officeDocument/2006/relationships">
  <sheetPr codeName="Sheet30"/>
  <dimension ref="A1:N35"/>
  <sheetViews>
    <sheetView workbookViewId="0" topLeftCell="A7">
      <selection activeCell="A28" sqref="A28"/>
    </sheetView>
  </sheetViews>
  <sheetFormatPr defaultColWidth="9.140625" defaultRowHeight="12.75"/>
  <cols>
    <col min="1" max="1" width="45.421875" style="1" customWidth="1"/>
    <col min="2" max="2" width="3.140625" style="1" customWidth="1"/>
    <col min="3" max="3" width="15.7109375" style="1" customWidth="1"/>
    <col min="4" max="4" width="3.28125" style="1" customWidth="1"/>
    <col min="5" max="5" width="16.8515625" style="1" customWidth="1"/>
    <col min="6" max="6" width="3.140625" style="1" customWidth="1"/>
    <col min="7" max="7" width="16.8515625" style="1" customWidth="1"/>
    <col min="8" max="8" width="4.421875" style="1" customWidth="1"/>
    <col min="9" max="9" width="17.140625" style="1" customWidth="1"/>
    <col min="10" max="10" width="4.7109375" style="1" customWidth="1"/>
    <col min="11" max="11" width="15.7109375" style="1" customWidth="1"/>
    <col min="12" max="12" width="5.00390625" style="1" customWidth="1"/>
    <col min="13" max="13" width="15.7109375" style="1" customWidth="1"/>
    <col min="14" max="14" width="2.28125" style="1" customWidth="1"/>
    <col min="15" max="15" width="7.00390625" style="1" customWidth="1"/>
    <col min="16" max="16" width="8.28125" style="1" customWidth="1"/>
    <col min="17" max="16384" width="7.00390625" style="1" customWidth="1"/>
  </cols>
  <sheetData>
    <row r="1" spans="3:13" ht="15">
      <c r="C1" s="344" t="s">
        <v>537</v>
      </c>
      <c r="D1" s="344"/>
      <c r="E1" s="344"/>
      <c r="G1" s="166" t="s">
        <v>537</v>
      </c>
      <c r="I1" s="166" t="s">
        <v>537</v>
      </c>
      <c r="K1" s="166" t="s">
        <v>537</v>
      </c>
      <c r="M1" s="166" t="s">
        <v>537</v>
      </c>
    </row>
    <row r="2" spans="3:13" ht="15">
      <c r="C2" s="343" t="s">
        <v>27</v>
      </c>
      <c r="D2" s="343"/>
      <c r="E2" s="343"/>
      <c r="G2" s="133" t="s">
        <v>547</v>
      </c>
      <c r="I2" s="168" t="s">
        <v>500</v>
      </c>
      <c r="K2" s="133" t="s">
        <v>402</v>
      </c>
      <c r="L2" s="2"/>
      <c r="M2" s="129" t="s">
        <v>310</v>
      </c>
    </row>
    <row r="3" spans="1:14" ht="15.75">
      <c r="A3" s="2"/>
      <c r="B3" s="2"/>
      <c r="C3" s="95" t="s">
        <v>473</v>
      </c>
      <c r="D3" s="311"/>
      <c r="E3" s="95" t="s">
        <v>474</v>
      </c>
      <c r="F3" s="2"/>
      <c r="G3" s="95" t="s">
        <v>474</v>
      </c>
      <c r="H3" s="2"/>
      <c r="I3" s="95" t="s">
        <v>474</v>
      </c>
      <c r="J3" s="2"/>
      <c r="K3" s="95" t="s">
        <v>474</v>
      </c>
      <c r="L3" s="11"/>
      <c r="M3" s="95" t="s">
        <v>474</v>
      </c>
      <c r="N3" s="20"/>
    </row>
    <row r="4" spans="1:14" ht="15.75">
      <c r="A4" s="7"/>
      <c r="B4" s="7"/>
      <c r="C4" s="104"/>
      <c r="D4" s="307"/>
      <c r="E4" s="104"/>
      <c r="F4" s="7"/>
      <c r="G4" s="104"/>
      <c r="H4" s="7"/>
      <c r="I4" s="104"/>
      <c r="J4" s="7"/>
      <c r="K4" s="104"/>
      <c r="L4" s="104"/>
      <c r="M4" s="104"/>
      <c r="N4" s="20"/>
    </row>
    <row r="5" spans="1:14" ht="15">
      <c r="A5" s="43" t="s">
        <v>475</v>
      </c>
      <c r="B5" s="2"/>
      <c r="C5" s="105"/>
      <c r="D5" s="308"/>
      <c r="E5" s="105"/>
      <c r="F5" s="2"/>
      <c r="G5" s="105"/>
      <c r="H5" s="2"/>
      <c r="I5" s="105"/>
      <c r="J5" s="2"/>
      <c r="K5" s="105"/>
      <c r="L5" s="105"/>
      <c r="M5" s="105"/>
      <c r="N5" s="20"/>
    </row>
    <row r="6" spans="1:13" ht="15">
      <c r="A6" s="2"/>
      <c r="B6" s="2"/>
      <c r="C6" s="2"/>
      <c r="D6" s="53"/>
      <c r="E6" s="2"/>
      <c r="F6" s="2"/>
      <c r="G6" s="2"/>
      <c r="H6" s="2"/>
      <c r="I6" s="2"/>
      <c r="J6" s="2"/>
      <c r="K6" s="2"/>
      <c r="L6" s="2"/>
      <c r="M6" s="2"/>
    </row>
    <row r="7" spans="1:13" ht="15">
      <c r="A7" s="2" t="s">
        <v>476</v>
      </c>
      <c r="B7" s="2"/>
      <c r="C7" s="15">
        <v>500</v>
      </c>
      <c r="D7" s="309"/>
      <c r="E7" s="15">
        <v>0</v>
      </c>
      <c r="F7" s="2"/>
      <c r="G7" s="15">
        <v>0</v>
      </c>
      <c r="H7" s="2"/>
      <c r="I7" s="15">
        <v>0</v>
      </c>
      <c r="J7" s="2"/>
      <c r="K7" s="15">
        <v>0</v>
      </c>
      <c r="L7" s="2"/>
      <c r="M7" s="15">
        <v>0</v>
      </c>
    </row>
    <row r="8" spans="1:13" ht="15">
      <c r="A8" s="2" t="s">
        <v>477</v>
      </c>
      <c r="B8" s="2"/>
      <c r="C8" s="106">
        <v>100</v>
      </c>
      <c r="D8" s="316"/>
      <c r="E8" s="106">
        <v>100</v>
      </c>
      <c r="F8" s="2"/>
      <c r="G8" s="106">
        <v>100</v>
      </c>
      <c r="H8" s="2"/>
      <c r="I8" s="106">
        <v>100</v>
      </c>
      <c r="J8" s="2"/>
      <c r="K8" s="106">
        <v>100</v>
      </c>
      <c r="L8" s="2"/>
      <c r="M8" s="106">
        <v>100</v>
      </c>
    </row>
    <row r="9" spans="1:13" ht="15">
      <c r="A9" s="2" t="s">
        <v>478</v>
      </c>
      <c r="B9" s="2"/>
      <c r="C9" s="106">
        <v>255</v>
      </c>
      <c r="D9" s="316"/>
      <c r="E9" s="106">
        <v>255</v>
      </c>
      <c r="F9" s="2"/>
      <c r="G9" s="106">
        <v>255</v>
      </c>
      <c r="H9" s="2"/>
      <c r="I9" s="106">
        <v>255</v>
      </c>
      <c r="J9" s="2"/>
      <c r="K9" s="106">
        <v>255</v>
      </c>
      <c r="L9" s="2"/>
      <c r="M9" s="106">
        <v>255</v>
      </c>
    </row>
    <row r="10" spans="1:13" ht="15">
      <c r="A10" s="2" t="s">
        <v>479</v>
      </c>
      <c r="B10" s="2"/>
      <c r="C10" s="106">
        <v>597</v>
      </c>
      <c r="D10" s="316"/>
      <c r="E10" s="106">
        <v>597</v>
      </c>
      <c r="F10" s="2"/>
      <c r="G10" s="106">
        <f>780-183</f>
        <v>597</v>
      </c>
      <c r="H10" s="2"/>
      <c r="I10" s="106">
        <v>597</v>
      </c>
      <c r="J10" s="2"/>
      <c r="K10" s="106">
        <v>597</v>
      </c>
      <c r="L10" s="2"/>
      <c r="M10" s="106">
        <v>597</v>
      </c>
    </row>
    <row r="11" spans="1:13" ht="15">
      <c r="A11" s="2" t="s">
        <v>490</v>
      </c>
      <c r="B11" s="2"/>
      <c r="C11" s="106">
        <v>630</v>
      </c>
      <c r="D11" s="316"/>
      <c r="E11" s="106">
        <v>630</v>
      </c>
      <c r="F11" s="2"/>
      <c r="G11" s="106">
        <v>626</v>
      </c>
      <c r="H11" s="2"/>
      <c r="I11" s="106">
        <v>622</v>
      </c>
      <c r="J11" s="2"/>
      <c r="K11" s="106">
        <v>618</v>
      </c>
      <c r="L11" s="2"/>
      <c r="M11" s="106">
        <v>614</v>
      </c>
    </row>
    <row r="12" spans="1:13" ht="15">
      <c r="A12" s="2" t="s">
        <v>489</v>
      </c>
      <c r="B12" s="2"/>
      <c r="C12" s="106">
        <v>302</v>
      </c>
      <c r="D12" s="316"/>
      <c r="E12" s="106">
        <v>302</v>
      </c>
      <c r="F12" s="2"/>
      <c r="G12" s="106">
        <v>300</v>
      </c>
      <c r="H12" s="2"/>
      <c r="I12" s="106">
        <v>296</v>
      </c>
      <c r="J12" s="2"/>
      <c r="K12" s="106">
        <v>294</v>
      </c>
      <c r="L12" s="2"/>
      <c r="M12" s="106">
        <v>292</v>
      </c>
    </row>
    <row r="13" spans="1:13" ht="15">
      <c r="A13" s="2"/>
      <c r="B13" s="2"/>
      <c r="C13" s="107"/>
      <c r="D13" s="316"/>
      <c r="E13" s="107"/>
      <c r="F13" s="2"/>
      <c r="G13" s="107"/>
      <c r="H13" s="2"/>
      <c r="I13" s="107"/>
      <c r="J13" s="2"/>
      <c r="K13" s="107"/>
      <c r="L13" s="2"/>
      <c r="M13" s="107"/>
    </row>
    <row r="14" spans="1:13" ht="15">
      <c r="A14" s="2" t="s">
        <v>308</v>
      </c>
      <c r="B14" s="2"/>
      <c r="C14" s="15">
        <f>SUM(C7:C13)</f>
        <v>2384</v>
      </c>
      <c r="D14" s="309"/>
      <c r="E14" s="15">
        <f>SUM(E7:E13)</f>
        <v>1884</v>
      </c>
      <c r="F14" s="2"/>
      <c r="G14" s="15">
        <f>SUM(G7:G13)</f>
        <v>1878</v>
      </c>
      <c r="H14" s="2"/>
      <c r="I14" s="15">
        <f>SUM(I7:I13)</f>
        <v>1870</v>
      </c>
      <c r="J14" s="2"/>
      <c r="K14" s="15">
        <f>SUM(K7:K13)</f>
        <v>1864</v>
      </c>
      <c r="L14" s="2"/>
      <c r="M14" s="15">
        <f>SUM(M7:M13)</f>
        <v>1858</v>
      </c>
    </row>
    <row r="15" spans="1:13" ht="15">
      <c r="A15" s="2"/>
      <c r="B15" s="2"/>
      <c r="C15" s="2"/>
      <c r="D15" s="53"/>
      <c r="E15" s="2"/>
      <c r="F15" s="2"/>
      <c r="G15" s="2"/>
      <c r="H15" s="2"/>
      <c r="I15" s="15"/>
      <c r="J15" s="2"/>
      <c r="K15" s="15"/>
      <c r="L15" s="2"/>
      <c r="M15" s="15"/>
    </row>
    <row r="16" spans="1:13" ht="15">
      <c r="A16" s="43" t="s">
        <v>321</v>
      </c>
      <c r="B16" s="2"/>
      <c r="C16" s="2"/>
      <c r="D16" s="2"/>
      <c r="E16" s="165"/>
      <c r="F16" s="2"/>
      <c r="G16" s="165"/>
      <c r="H16" s="2"/>
      <c r="I16" s="165"/>
      <c r="J16" s="2"/>
      <c r="K16" s="106"/>
      <c r="L16" s="2"/>
      <c r="M16" s="106"/>
    </row>
    <row r="17" spans="1:13" ht="15">
      <c r="A17" s="2"/>
      <c r="B17" s="2"/>
      <c r="C17" s="2"/>
      <c r="D17" s="2"/>
      <c r="E17" s="106"/>
      <c r="F17" s="2"/>
      <c r="G17" s="106"/>
      <c r="H17" s="2"/>
      <c r="I17" s="106"/>
      <c r="J17" s="2"/>
      <c r="K17" s="106"/>
      <c r="L17" s="2"/>
      <c r="M17" s="106"/>
    </row>
    <row r="18" spans="1:13" ht="15">
      <c r="A18" s="2" t="s">
        <v>142</v>
      </c>
      <c r="B18" s="2"/>
      <c r="C18" s="2"/>
      <c r="D18" s="2"/>
      <c r="E18" s="106">
        <f>'Bal Sheet'!C36/1000+3494.7</f>
        <v>3496.0649999999996</v>
      </c>
      <c r="F18" s="2"/>
      <c r="G18" s="106">
        <f>'Bal Sheet'!E36/1000+3462</f>
        <v>3463.36</v>
      </c>
      <c r="H18" s="2"/>
      <c r="I18" s="106">
        <f>'Bal Sheet'!G36/1000+3436</f>
        <v>3437.358</v>
      </c>
      <c r="J18" s="2"/>
      <c r="K18" s="106">
        <f>'Bal Sheet'!I36/1000+3440</f>
        <v>3441.358</v>
      </c>
      <c r="L18" s="2"/>
      <c r="M18" s="106">
        <f>'Bal Sheet'!K36/1000+3428</f>
        <v>3429.355</v>
      </c>
    </row>
    <row r="19" spans="1:13" ht="15">
      <c r="A19" s="2" t="s">
        <v>143</v>
      </c>
      <c r="B19" s="2"/>
      <c r="C19" s="2"/>
      <c r="D19" s="2"/>
      <c r="E19" s="106">
        <v>517.5</v>
      </c>
      <c r="F19" s="2"/>
      <c r="G19" s="106">
        <f>'Bal Sheet'!E37/1000+517.5</f>
        <v>517.707</v>
      </c>
      <c r="H19" s="2"/>
      <c r="I19" s="126">
        <f>'Bal Sheet'!G37/1000+230</f>
        <v>230.092</v>
      </c>
      <c r="J19" s="2"/>
      <c r="K19" s="106">
        <f>'Bal Sheet'!I37/1000</f>
        <v>0</v>
      </c>
      <c r="L19" s="2"/>
      <c r="M19" s="106">
        <f>'Bal Sheet'!K37/1000</f>
        <v>0</v>
      </c>
    </row>
    <row r="20" spans="1:13" ht="15">
      <c r="A20" s="2" t="s">
        <v>515</v>
      </c>
      <c r="B20" s="2"/>
      <c r="C20" s="2"/>
      <c r="D20" s="2"/>
      <c r="E20" s="106">
        <f>('Bal Sheet'!C39+'Bal Sheet'!C40+'Bal Sheet'!C41)/1000</f>
        <v>2798.634</v>
      </c>
      <c r="F20" s="2"/>
      <c r="G20" s="106">
        <f>('Bal Sheet'!E39+'Bal Sheet'!E40+'Bal Sheet'!E41)/1000+1</f>
        <v>2589.043</v>
      </c>
      <c r="H20" s="2"/>
      <c r="I20" s="106">
        <f>('Bal Sheet'!G39+'Bal Sheet'!G40+'Bal Sheet'!G41)/1000</f>
        <v>2281.533</v>
      </c>
      <c r="J20" s="2"/>
      <c r="K20" s="106">
        <f>('Bal Sheet'!I39+'Bal Sheet'!I40+'Bal Sheet'!I41)/1000</f>
        <v>1934.305</v>
      </c>
      <c r="L20" s="2"/>
      <c r="M20" s="106">
        <f>('Bal Sheet'!K39+'Bal Sheet'!K40+'Bal Sheet'!K41)/1000</f>
        <v>2020.789</v>
      </c>
    </row>
    <row r="21" spans="1:13" ht="15">
      <c r="A21" s="2"/>
      <c r="B21" s="2"/>
      <c r="C21" s="2"/>
      <c r="D21" s="2"/>
      <c r="E21" s="107"/>
      <c r="F21" s="2"/>
      <c r="G21" s="107"/>
      <c r="H21" s="2"/>
      <c r="I21" s="107"/>
      <c r="J21" s="2"/>
      <c r="K21" s="107"/>
      <c r="L21" s="2"/>
      <c r="M21" s="107"/>
    </row>
    <row r="22" spans="1:13" ht="15">
      <c r="A22" s="2" t="s">
        <v>434</v>
      </c>
      <c r="B22" s="2"/>
      <c r="C22" s="2"/>
      <c r="D22" s="2"/>
      <c r="E22" s="15">
        <f>SUM(E18:E21)</f>
        <v>6812.199</v>
      </c>
      <c r="F22" s="2"/>
      <c r="G22" s="15">
        <f>SUM(G18:G21)</f>
        <v>6570.110000000001</v>
      </c>
      <c r="H22" s="2"/>
      <c r="I22" s="15">
        <f>SUM(I18:I21)</f>
        <v>5948.983</v>
      </c>
      <c r="J22" s="2"/>
      <c r="K22" s="15">
        <f>SUM(K18:K21)-1</f>
        <v>5374.6630000000005</v>
      </c>
      <c r="L22" s="2"/>
      <c r="M22" s="15">
        <f>SUM(M18:M21)</f>
        <v>5450.144</v>
      </c>
    </row>
    <row r="23" spans="1:13" ht="15">
      <c r="A23" s="2"/>
      <c r="B23" s="2"/>
      <c r="C23" s="2"/>
      <c r="D23" s="2"/>
      <c r="E23" s="106"/>
      <c r="F23" s="2"/>
      <c r="G23" s="106"/>
      <c r="H23" s="2"/>
      <c r="I23" s="106"/>
      <c r="J23" s="2"/>
      <c r="K23" s="106"/>
      <c r="L23" s="2"/>
      <c r="M23" s="106"/>
    </row>
    <row r="24" spans="1:13" ht="15.75" thickBot="1">
      <c r="A24" s="2" t="s">
        <v>144</v>
      </c>
      <c r="B24" s="2"/>
      <c r="C24" s="2"/>
      <c r="D24" s="2"/>
      <c r="E24" s="19">
        <f>E14+E22</f>
        <v>8696.199</v>
      </c>
      <c r="F24" s="2"/>
      <c r="G24" s="19">
        <f>G14+G22</f>
        <v>8448.11</v>
      </c>
      <c r="H24" s="2"/>
      <c r="I24" s="19">
        <f>I14+I22</f>
        <v>7818.983</v>
      </c>
      <c r="J24" s="2"/>
      <c r="K24" s="19">
        <f>K14+K22</f>
        <v>7238.6630000000005</v>
      </c>
      <c r="L24" s="2"/>
      <c r="M24" s="19">
        <f>M14+M22</f>
        <v>7308.144</v>
      </c>
    </row>
    <row r="25" spans="1:13" ht="15.75" thickTop="1">
      <c r="A25" s="2"/>
      <c r="B25" s="2"/>
      <c r="C25" s="2"/>
      <c r="D25" s="2"/>
      <c r="E25" s="2"/>
      <c r="F25" s="2"/>
      <c r="G25" s="2"/>
      <c r="H25" s="2"/>
      <c r="I25" s="2"/>
      <c r="J25" s="2"/>
      <c r="K25" s="2"/>
      <c r="L25" s="2"/>
      <c r="M25" s="2"/>
    </row>
    <row r="26" spans="1:13" ht="15">
      <c r="A26" s="9" t="s">
        <v>145</v>
      </c>
      <c r="B26" s="2"/>
      <c r="C26" s="2"/>
      <c r="D26" s="2"/>
      <c r="E26" s="100">
        <f>E14/E24</f>
        <v>0.2166463761926331</v>
      </c>
      <c r="F26" s="2"/>
      <c r="G26" s="100">
        <f>G14/G24</f>
        <v>0.22229824185527886</v>
      </c>
      <c r="H26" s="2"/>
      <c r="I26" s="100">
        <f>I14/I24</f>
        <v>0.2391615380158775</v>
      </c>
      <c r="J26" s="2"/>
      <c r="K26" s="100">
        <f>K14/K24</f>
        <v>0.2575061168063771</v>
      </c>
      <c r="L26" s="2"/>
      <c r="M26" s="100">
        <f>M14/M24</f>
        <v>0.2542369170612949</v>
      </c>
    </row>
    <row r="27" spans="1:12" ht="15">
      <c r="A27" s="2"/>
      <c r="B27" s="2"/>
      <c r="C27" s="2"/>
      <c r="D27" s="2"/>
      <c r="E27" s="2"/>
      <c r="F27" s="2"/>
      <c r="G27" s="2"/>
      <c r="H27" s="2"/>
      <c r="I27" s="2"/>
      <c r="J27" s="2"/>
      <c r="K27" s="2"/>
      <c r="L27" s="2"/>
    </row>
    <row r="28" spans="1:12" ht="15">
      <c r="A28" s="2"/>
      <c r="B28" s="2"/>
      <c r="C28" s="2"/>
      <c r="D28" s="2"/>
      <c r="E28" s="2"/>
      <c r="F28" s="2"/>
      <c r="G28" s="2"/>
      <c r="H28" s="2"/>
      <c r="I28" s="2"/>
      <c r="J28" s="2"/>
      <c r="K28" s="2"/>
      <c r="L28" s="2"/>
    </row>
    <row r="29" spans="1:14" ht="13.5" customHeight="1">
      <c r="A29" s="78"/>
      <c r="B29" s="24"/>
      <c r="C29" s="24"/>
      <c r="D29" s="24"/>
      <c r="E29" s="24"/>
      <c r="F29" s="24"/>
      <c r="G29" s="24"/>
      <c r="H29" s="24"/>
      <c r="I29" s="24"/>
      <c r="J29" s="24"/>
      <c r="K29" s="24"/>
      <c r="L29" s="24"/>
      <c r="M29" s="24"/>
      <c r="N29" s="24"/>
    </row>
    <row r="30" spans="1:14" ht="13.5">
      <c r="A30" s="24"/>
      <c r="B30" s="24"/>
      <c r="C30" s="24"/>
      <c r="D30" s="24"/>
      <c r="E30" s="24"/>
      <c r="F30" s="24"/>
      <c r="G30" s="24"/>
      <c r="H30" s="24"/>
      <c r="I30" s="24"/>
      <c r="J30" s="24"/>
      <c r="K30" s="24"/>
      <c r="L30" s="24"/>
      <c r="M30" s="24"/>
      <c r="N30" s="24"/>
    </row>
    <row r="31" spans="1:12" ht="15.75">
      <c r="A31" s="7"/>
      <c r="B31" s="7"/>
      <c r="C31" s="7"/>
      <c r="D31" s="7"/>
      <c r="E31" s="7"/>
      <c r="F31" s="7"/>
      <c r="G31" s="7"/>
      <c r="H31" s="7"/>
      <c r="I31" s="7"/>
      <c r="J31" s="7"/>
      <c r="K31" s="7"/>
      <c r="L31" s="7"/>
    </row>
    <row r="32" spans="1:12" ht="15.75">
      <c r="A32" s="7"/>
      <c r="B32" s="7"/>
      <c r="C32" s="7"/>
      <c r="D32" s="7"/>
      <c r="E32" s="7"/>
      <c r="F32" s="7"/>
      <c r="G32" s="7"/>
      <c r="H32" s="7"/>
      <c r="I32" s="7"/>
      <c r="J32" s="7"/>
      <c r="K32" s="7"/>
      <c r="L32" s="7"/>
    </row>
    <row r="33" spans="1:12" ht="15.75">
      <c r="A33" s="7"/>
      <c r="B33" s="7"/>
      <c r="C33" s="7"/>
      <c r="D33" s="7"/>
      <c r="E33" s="7"/>
      <c r="F33" s="7"/>
      <c r="G33" s="7"/>
      <c r="H33" s="7"/>
      <c r="I33" s="7"/>
      <c r="J33" s="7"/>
      <c r="K33" s="7"/>
      <c r="L33" s="7"/>
    </row>
    <row r="34" spans="1:12" ht="15.75">
      <c r="A34" s="7"/>
      <c r="B34" s="7"/>
      <c r="C34" s="7"/>
      <c r="D34" s="7"/>
      <c r="E34" s="7"/>
      <c r="F34" s="7"/>
      <c r="G34" s="7"/>
      <c r="H34" s="7"/>
      <c r="I34" s="7"/>
      <c r="J34" s="7"/>
      <c r="K34" s="7"/>
      <c r="L34" s="7"/>
    </row>
    <row r="35" spans="1:12" ht="15.75">
      <c r="A35" s="7"/>
      <c r="B35" s="7"/>
      <c r="C35" s="7"/>
      <c r="D35" s="7"/>
      <c r="E35" s="7"/>
      <c r="F35" s="7"/>
      <c r="G35" s="7"/>
      <c r="H35" s="7"/>
      <c r="I35" s="7"/>
      <c r="J35" s="7"/>
      <c r="K35" s="7"/>
      <c r="L35" s="7"/>
    </row>
  </sheetData>
  <mergeCells count="2">
    <mergeCell ref="C2:E2"/>
    <mergeCell ref="C1:E1"/>
  </mergeCells>
  <printOptions horizontalCentered="1" verticalCentered="1"/>
  <pageMargins left="0.74" right="0.87" top="1.24" bottom="1.79" header="0.5" footer="0.5"/>
  <pageSetup horizontalDpi="300" verticalDpi="300" orientation="landscape" scale="68" r:id="rId2"/>
  <headerFooter alignWithMargins="0">
    <oddHeader>&amp;L&amp;G&amp;C&amp;"Optima,Bold"&amp;18SUPPLEMENTARY CAPITAL INFORMATION
&amp;"Optima,Regular"&amp;12(U.S. dollars in millions)
(Unaudited)</oddHeader>
    <oddFooter>&amp;C&amp;"Optima,Regular"31</oddFooter>
  </headerFooter>
  <legacyDrawingHF r:id="rId1"/>
</worksheet>
</file>

<file path=xl/worksheets/sheet4.xml><?xml version="1.0" encoding="utf-8"?>
<worksheet xmlns="http://schemas.openxmlformats.org/spreadsheetml/2006/main" xmlns:r="http://schemas.openxmlformats.org/officeDocument/2006/relationships">
  <sheetPr codeName="Sheet6"/>
  <dimension ref="A1:P45"/>
  <sheetViews>
    <sheetView workbookViewId="0" topLeftCell="A26">
      <selection activeCell="C45" sqref="C45"/>
    </sheetView>
  </sheetViews>
  <sheetFormatPr defaultColWidth="9.140625" defaultRowHeight="12.75"/>
  <cols>
    <col min="1" max="1" width="44.28125" style="1" customWidth="1"/>
    <col min="2" max="2" width="3.7109375" style="1" customWidth="1"/>
    <col min="3" max="3" width="20.7109375" style="1" customWidth="1"/>
    <col min="4" max="4" width="3.7109375" style="1" customWidth="1"/>
    <col min="5" max="5" width="20.7109375" style="1" customWidth="1"/>
    <col min="6" max="6" width="3.7109375" style="1" customWidth="1"/>
    <col min="7" max="7" width="20.7109375" style="1" customWidth="1"/>
    <col min="8" max="8" width="3.7109375" style="1" customWidth="1"/>
    <col min="9" max="9" width="20.7109375" style="1" customWidth="1"/>
    <col min="10" max="10" width="3.7109375" style="1" customWidth="1"/>
    <col min="11" max="11" width="20.7109375" style="1" customWidth="1"/>
    <col min="12" max="12" width="2.421875" style="1" hidden="1" customWidth="1"/>
    <col min="13" max="13" width="8.140625" style="1" customWidth="1"/>
    <col min="14" max="16384" width="9.140625" style="1" customWidth="1"/>
  </cols>
  <sheetData>
    <row r="1" spans="3:11" ht="18.75">
      <c r="C1" s="12" t="s">
        <v>537</v>
      </c>
      <c r="E1" s="12" t="s">
        <v>537</v>
      </c>
      <c r="G1" s="12" t="s">
        <v>537</v>
      </c>
      <c r="H1" s="71"/>
      <c r="I1" s="12" t="s">
        <v>537</v>
      </c>
      <c r="J1" s="71"/>
      <c r="K1" s="12" t="s">
        <v>537</v>
      </c>
    </row>
    <row r="2" spans="3:11" ht="18.75">
      <c r="C2" s="47" t="s">
        <v>27</v>
      </c>
      <c r="E2" s="47" t="s">
        <v>547</v>
      </c>
      <c r="G2" s="47" t="s">
        <v>500</v>
      </c>
      <c r="H2" s="71"/>
      <c r="I2" s="47" t="s">
        <v>402</v>
      </c>
      <c r="J2" s="71"/>
      <c r="K2" s="47" t="s">
        <v>310</v>
      </c>
    </row>
    <row r="5" spans="1:11" ht="14.25" customHeight="1">
      <c r="A5" s="2" t="s">
        <v>365</v>
      </c>
      <c r="B5" s="2"/>
      <c r="C5" s="15">
        <f>'Bal Sheet'!C11/1000</f>
        <v>19103.805</v>
      </c>
      <c r="D5" s="2"/>
      <c r="E5" s="15">
        <f>'Bal Sheet'!E11/1000</f>
        <v>17955.799</v>
      </c>
      <c r="F5" s="2"/>
      <c r="G5" s="15">
        <f>'Bal Sheet'!G11/1000</f>
        <v>17082.438</v>
      </c>
      <c r="H5" s="2"/>
      <c r="I5" s="15">
        <v>14924</v>
      </c>
      <c r="J5" s="48"/>
      <c r="K5" s="50">
        <v>14247</v>
      </c>
    </row>
    <row r="6" spans="1:11" ht="14.25" customHeight="1">
      <c r="A6" s="2"/>
      <c r="B6" s="2"/>
      <c r="C6" s="33"/>
      <c r="D6" s="2"/>
      <c r="E6" s="33"/>
      <c r="F6" s="2"/>
      <c r="G6" s="33"/>
      <c r="H6" s="2"/>
      <c r="I6" s="33"/>
      <c r="J6" s="49"/>
      <c r="K6" s="49"/>
    </row>
    <row r="7" spans="1:12" ht="14.25" customHeight="1">
      <c r="A7" s="2" t="s">
        <v>362</v>
      </c>
      <c r="B7" s="2"/>
      <c r="C7" s="16">
        <f>'Bal Sheet'!C12/1000</f>
        <v>3152.328</v>
      </c>
      <c r="D7" s="2"/>
      <c r="E7" s="16">
        <f>'Bal Sheet'!E12/1000</f>
        <v>3557.815</v>
      </c>
      <c r="F7" s="2"/>
      <c r="G7" s="16">
        <f>'Bal Sheet'!G12/1000</f>
        <v>2737.445</v>
      </c>
      <c r="H7" s="2"/>
      <c r="I7" s="16">
        <v>2279</v>
      </c>
      <c r="J7" s="51"/>
      <c r="K7" s="52">
        <v>2066</v>
      </c>
      <c r="L7" s="52"/>
    </row>
    <row r="8" spans="1:12" ht="14.25" customHeight="1">
      <c r="A8" s="2"/>
      <c r="B8" s="2"/>
      <c r="C8" s="16"/>
      <c r="D8" s="2"/>
      <c r="E8" s="16"/>
      <c r="F8" s="2"/>
      <c r="G8" s="16"/>
      <c r="H8" s="2"/>
      <c r="I8" s="16"/>
      <c r="J8" s="49"/>
      <c r="K8" s="52"/>
      <c r="L8" s="52"/>
    </row>
    <row r="9" spans="1:12" ht="14.25" customHeight="1">
      <c r="A9" s="2" t="s">
        <v>370</v>
      </c>
      <c r="B9" s="2"/>
      <c r="C9" s="16">
        <f>'Bal Sheet'!C17/1000</f>
        <v>4866.451</v>
      </c>
      <c r="D9" s="2"/>
      <c r="E9" s="16">
        <f>'Bal Sheet'!E17/1000</f>
        <v>5012.655</v>
      </c>
      <c r="F9" s="2"/>
      <c r="G9" s="16">
        <f>'Bal Sheet'!G17/1000</f>
        <v>5185.458</v>
      </c>
      <c r="H9" s="2"/>
      <c r="I9" s="16">
        <v>4727</v>
      </c>
      <c r="J9" s="51"/>
      <c r="K9" s="52">
        <v>5064</v>
      </c>
      <c r="L9" s="52"/>
    </row>
    <row r="10" spans="1:13" ht="14.25" customHeight="1">
      <c r="A10" s="2"/>
      <c r="B10" s="2"/>
      <c r="C10" s="16"/>
      <c r="D10" s="2"/>
      <c r="E10" s="16"/>
      <c r="F10" s="2"/>
      <c r="G10" s="16"/>
      <c r="H10" s="2"/>
      <c r="I10" s="16"/>
      <c r="J10" s="49"/>
      <c r="K10" s="52"/>
      <c r="L10" s="52"/>
      <c r="M10" s="52"/>
    </row>
    <row r="11" spans="1:13" ht="14.25" customHeight="1">
      <c r="A11" s="9" t="s">
        <v>415</v>
      </c>
      <c r="B11" s="9"/>
      <c r="C11" s="16">
        <f>'Bal Sheet'!C21/1000</f>
        <v>37461.625</v>
      </c>
      <c r="D11" s="9"/>
      <c r="E11" s="16">
        <f>'Bal Sheet'!E21/1000</f>
        <v>35647.369</v>
      </c>
      <c r="F11" s="9"/>
      <c r="G11" s="16">
        <f>'Bal Sheet'!G21/1000</f>
        <v>34090.827</v>
      </c>
      <c r="H11" s="2"/>
      <c r="I11" s="16">
        <v>31189</v>
      </c>
      <c r="J11" s="10"/>
      <c r="K11" s="16">
        <v>30718</v>
      </c>
      <c r="L11" s="10"/>
      <c r="M11" s="52"/>
    </row>
    <row r="12" spans="1:13" ht="14.25" customHeight="1">
      <c r="A12" s="2"/>
      <c r="B12" s="2"/>
      <c r="C12" s="16"/>
      <c r="D12" s="2"/>
      <c r="E12" s="16"/>
      <c r="F12" s="2"/>
      <c r="G12" s="16"/>
      <c r="H12" s="2"/>
      <c r="I12" s="16"/>
      <c r="J12" s="49"/>
      <c r="K12" s="52"/>
      <c r="L12" s="52"/>
      <c r="M12" s="52"/>
    </row>
    <row r="13" spans="1:13" ht="14.25" customHeight="1">
      <c r="A13" s="9"/>
      <c r="B13" s="9"/>
      <c r="C13" s="16"/>
      <c r="D13" s="9"/>
      <c r="E13" s="16"/>
      <c r="F13" s="9"/>
      <c r="G13" s="16"/>
      <c r="H13" s="2"/>
      <c r="I13" s="16"/>
      <c r="J13" s="49"/>
      <c r="K13" s="52"/>
      <c r="L13" s="52"/>
      <c r="M13" s="52"/>
    </row>
    <row r="14" spans="1:13" ht="14.25" customHeight="1">
      <c r="A14" s="2" t="s">
        <v>375</v>
      </c>
      <c r="B14" s="2"/>
      <c r="C14" s="16">
        <f>'Bal Sheet'!C24/1000</f>
        <v>13496.875</v>
      </c>
      <c r="D14" s="2"/>
      <c r="E14" s="16">
        <f>'Bal Sheet'!E24/1000</f>
        <v>13202.736</v>
      </c>
      <c r="F14" s="2"/>
      <c r="G14" s="16">
        <f>'Bal Sheet'!G24/1000</f>
        <v>12690.974</v>
      </c>
      <c r="H14" s="2"/>
      <c r="I14" s="16">
        <v>12397</v>
      </c>
      <c r="J14" s="51"/>
      <c r="K14" s="52">
        <v>12276</v>
      </c>
      <c r="L14" s="52"/>
      <c r="M14" s="52"/>
    </row>
    <row r="15" spans="1:13" ht="14.25" customHeight="1">
      <c r="A15" s="2"/>
      <c r="B15" s="2"/>
      <c r="C15" s="16"/>
      <c r="D15" s="2"/>
      <c r="E15" s="16"/>
      <c r="F15" s="2"/>
      <c r="G15" s="16"/>
      <c r="H15" s="2"/>
      <c r="I15" s="16"/>
      <c r="J15" s="49"/>
      <c r="K15" s="52"/>
      <c r="L15" s="52"/>
      <c r="M15" s="52"/>
    </row>
    <row r="16" spans="1:13" ht="14.25" customHeight="1">
      <c r="A16" s="2" t="s">
        <v>81</v>
      </c>
      <c r="B16" s="2"/>
      <c r="C16" s="16">
        <f>'Bal Sheet'!C25/1000</f>
        <v>2448.275</v>
      </c>
      <c r="D16" s="2"/>
      <c r="E16" s="16">
        <f>'Bal Sheet'!E25/1000</f>
        <v>2373.047</v>
      </c>
      <c r="F16" s="2"/>
      <c r="G16" s="16">
        <f>'Bal Sheet'!G25/1000</f>
        <v>1918.731</v>
      </c>
      <c r="H16" s="2"/>
      <c r="I16" s="16">
        <f>'Bal Sheet'!I25/1000</f>
        <v>1595.153</v>
      </c>
      <c r="J16" s="49"/>
      <c r="K16" s="16">
        <f>'Bal Sheet'!K25/1000</f>
        <v>1248.184</v>
      </c>
      <c r="L16" s="52"/>
      <c r="M16" s="52"/>
    </row>
    <row r="17" spans="1:13" ht="14.25" customHeight="1">
      <c r="A17" s="2"/>
      <c r="B17" s="2"/>
      <c r="C17" s="16"/>
      <c r="D17" s="2"/>
      <c r="E17" s="16"/>
      <c r="F17" s="2"/>
      <c r="G17" s="16"/>
      <c r="H17" s="2"/>
      <c r="I17" s="16"/>
      <c r="J17" s="49"/>
      <c r="K17" s="52"/>
      <c r="L17" s="52"/>
      <c r="M17" s="52"/>
    </row>
    <row r="18" spans="1:13" ht="14.25" customHeight="1">
      <c r="A18" s="2" t="s">
        <v>61</v>
      </c>
      <c r="B18" s="2"/>
      <c r="C18" s="16">
        <f>('Bal Sheet'!C26/1000)</f>
        <v>2532.637</v>
      </c>
      <c r="D18" s="2"/>
      <c r="E18" s="16">
        <f>('Bal Sheet'!E26/1000)</f>
        <v>2516.949</v>
      </c>
      <c r="F18" s="2"/>
      <c r="G18" s="16">
        <f>('Bal Sheet'!G26/1000)</f>
        <v>2027.74</v>
      </c>
      <c r="H18" s="2"/>
      <c r="I18" s="16">
        <f>('Bal Sheet'!I26/1000)</f>
        <v>1233.602</v>
      </c>
      <c r="J18" s="51"/>
      <c r="K18" s="16">
        <f>('Bal Sheet'!K26/1000)</f>
        <v>1161.297</v>
      </c>
      <c r="L18" s="52"/>
      <c r="M18" s="52"/>
    </row>
    <row r="19" spans="1:13" ht="14.25" customHeight="1">
      <c r="A19" s="2"/>
      <c r="B19" s="2"/>
      <c r="C19" s="16"/>
      <c r="D19" s="2"/>
      <c r="E19" s="16"/>
      <c r="F19" s="2"/>
      <c r="G19" s="16"/>
      <c r="H19" s="2"/>
      <c r="I19" s="16"/>
      <c r="J19" s="51"/>
      <c r="K19" s="52"/>
      <c r="L19" s="52"/>
      <c r="M19" s="52"/>
    </row>
    <row r="20" spans="1:13" ht="14.25" customHeight="1">
      <c r="A20" s="2" t="s">
        <v>317</v>
      </c>
      <c r="B20" s="2"/>
      <c r="C20" s="16">
        <f>'Bal Sheet'!C28/1000</f>
        <v>1884.158</v>
      </c>
      <c r="D20" s="2"/>
      <c r="E20" s="16">
        <f>'Bal Sheet'!E28/1000</f>
        <v>1877.957</v>
      </c>
      <c r="F20" s="2"/>
      <c r="G20" s="16">
        <f>'Bal Sheet'!G28/1000</f>
        <v>1870.21</v>
      </c>
      <c r="H20" s="2"/>
      <c r="I20" s="16">
        <v>1864</v>
      </c>
      <c r="J20" s="2"/>
      <c r="K20" s="52">
        <v>1858</v>
      </c>
      <c r="L20" s="52"/>
      <c r="M20" s="52"/>
    </row>
    <row r="21" spans="1:13" ht="14.25" customHeight="1">
      <c r="A21" s="2"/>
      <c r="B21" s="2"/>
      <c r="C21" s="16"/>
      <c r="D21" s="2"/>
      <c r="E21" s="16"/>
      <c r="F21" s="2"/>
      <c r="G21" s="16"/>
      <c r="H21" s="2"/>
      <c r="I21" s="16"/>
      <c r="J21" s="2"/>
      <c r="K21" s="52"/>
      <c r="L21" s="52"/>
      <c r="M21" s="52"/>
    </row>
    <row r="22" spans="1:13" ht="14.25" customHeight="1">
      <c r="A22" s="2" t="s">
        <v>319</v>
      </c>
      <c r="B22" s="2"/>
      <c r="C22" s="16">
        <f>'Bal Sheet'!C30/1000</f>
        <v>1668.469</v>
      </c>
      <c r="D22" s="2"/>
      <c r="E22" s="16">
        <f>'Bal Sheet'!E30/1000</f>
        <v>1546.276</v>
      </c>
      <c r="F22" s="2"/>
      <c r="G22" s="16">
        <f>'Bal Sheet'!G30/1000</f>
        <v>1778.303</v>
      </c>
      <c r="H22" s="2"/>
      <c r="I22" s="16">
        <v>1453</v>
      </c>
      <c r="J22" s="2"/>
      <c r="K22" s="52">
        <v>1483</v>
      </c>
      <c r="L22" s="52"/>
      <c r="M22" s="52"/>
    </row>
    <row r="23" spans="1:13" ht="14.25" customHeight="1">
      <c r="A23" s="2"/>
      <c r="B23" s="2"/>
      <c r="C23" s="16"/>
      <c r="D23" s="2"/>
      <c r="E23" s="16"/>
      <c r="F23" s="2"/>
      <c r="G23" s="16"/>
      <c r="H23" s="2"/>
      <c r="I23" s="16"/>
      <c r="J23" s="2"/>
      <c r="K23" s="52"/>
      <c r="L23" s="52"/>
      <c r="M23" s="52"/>
    </row>
    <row r="24" spans="1:13" ht="14.25" customHeight="1">
      <c r="A24" s="9" t="s">
        <v>325</v>
      </c>
      <c r="B24" s="9"/>
      <c r="C24" s="16">
        <f>('Bal Sheet'!C33/1000)</f>
        <v>30649.38</v>
      </c>
      <c r="D24" s="9"/>
      <c r="E24" s="16">
        <f>('Bal Sheet'!E33/1000)</f>
        <v>29077.78</v>
      </c>
      <c r="F24" s="9"/>
      <c r="G24" s="16">
        <f>('Bal Sheet'!G33/1000)</f>
        <v>28142.151</v>
      </c>
      <c r="H24" s="9"/>
      <c r="I24" s="16">
        <v>25814</v>
      </c>
      <c r="J24" s="9"/>
      <c r="K24" s="16">
        <v>25268</v>
      </c>
      <c r="L24" s="52"/>
      <c r="M24" s="52"/>
    </row>
    <row r="25" spans="1:13" ht="14.25" customHeight="1">
      <c r="A25" s="2"/>
      <c r="B25" s="2"/>
      <c r="C25" s="16"/>
      <c r="D25" s="2"/>
      <c r="E25" s="16"/>
      <c r="F25" s="2"/>
      <c r="G25" s="16"/>
      <c r="H25" s="2"/>
      <c r="I25" s="16"/>
      <c r="J25" s="54"/>
      <c r="K25" s="52"/>
      <c r="L25" s="52"/>
      <c r="M25" s="52"/>
    </row>
    <row r="26" spans="1:13" ht="15">
      <c r="A26" s="53"/>
      <c r="B26" s="53"/>
      <c r="C26" s="16"/>
      <c r="D26" s="53"/>
      <c r="E26" s="16"/>
      <c r="F26" s="53"/>
      <c r="G26" s="16"/>
      <c r="H26" s="2"/>
      <c r="I26" s="16"/>
      <c r="J26" s="2"/>
      <c r="K26" s="52"/>
      <c r="L26" s="52"/>
      <c r="M26" s="52"/>
    </row>
    <row r="27" spans="1:13" s="14" customFormat="1" ht="15">
      <c r="A27" s="9" t="s">
        <v>434</v>
      </c>
      <c r="B27" s="9"/>
      <c r="C27" s="16">
        <f>'Bal Sheet'!C42/1000</f>
        <v>6812.245</v>
      </c>
      <c r="D27" s="9"/>
      <c r="E27" s="16">
        <f>'Bal Sheet'!E42/1000</f>
        <v>6569.589</v>
      </c>
      <c r="F27" s="9"/>
      <c r="G27" s="16">
        <f>'Bal Sheet'!G42/1000</f>
        <v>5948.676</v>
      </c>
      <c r="H27" s="9"/>
      <c r="I27" s="16">
        <v>5375</v>
      </c>
      <c r="J27" s="9"/>
      <c r="K27" s="16">
        <v>5450</v>
      </c>
      <c r="L27" s="58"/>
      <c r="M27" s="58"/>
    </row>
    <row r="28" spans="1:13" s="14" customFormat="1" ht="15">
      <c r="A28" s="9"/>
      <c r="B28" s="9"/>
      <c r="C28" s="10"/>
      <c r="D28" s="9"/>
      <c r="E28" s="10"/>
      <c r="F28" s="9"/>
      <c r="G28" s="10"/>
      <c r="H28" s="9"/>
      <c r="I28" s="10"/>
      <c r="J28" s="9"/>
      <c r="K28" s="58"/>
      <c r="L28" s="58"/>
      <c r="M28" s="58"/>
    </row>
    <row r="29" spans="1:16" s="14" customFormat="1" ht="15">
      <c r="A29" s="2" t="s">
        <v>125</v>
      </c>
      <c r="B29" s="9"/>
      <c r="C29" s="16">
        <f>C27-517.5</f>
        <v>6294.745</v>
      </c>
      <c r="D29" s="9"/>
      <c r="E29" s="16">
        <f>E27-517.5</f>
        <v>6052.089</v>
      </c>
      <c r="F29" s="2"/>
      <c r="G29" s="16">
        <f>G27-230</f>
        <v>5718.676</v>
      </c>
      <c r="H29" s="2"/>
      <c r="I29" s="16">
        <v>5375</v>
      </c>
      <c r="J29" s="2"/>
      <c r="K29" s="52">
        <f>K27</f>
        <v>5450</v>
      </c>
      <c r="L29" s="52"/>
      <c r="M29" s="52"/>
      <c r="N29" s="1"/>
      <c r="O29" s="1"/>
      <c r="P29" s="1"/>
    </row>
    <row r="30" spans="1:13" ht="15">
      <c r="A30" s="2"/>
      <c r="B30" s="2"/>
      <c r="C30" s="16"/>
      <c r="D30" s="2"/>
      <c r="E30" s="16"/>
      <c r="F30" s="2"/>
      <c r="G30" s="16"/>
      <c r="H30" s="2"/>
      <c r="I30" s="16"/>
      <c r="J30" s="16"/>
      <c r="K30" s="52"/>
      <c r="L30" s="52"/>
      <c r="M30" s="52"/>
    </row>
    <row r="31" spans="1:13" ht="15" customHeight="1">
      <c r="A31" s="2" t="s">
        <v>105</v>
      </c>
      <c r="B31" s="2"/>
      <c r="C31" s="16">
        <v>136560490</v>
      </c>
      <c r="D31" s="2"/>
      <c r="E31" s="16">
        <v>136063184</v>
      </c>
      <c r="F31" s="2"/>
      <c r="G31" s="16">
        <v>135824297</v>
      </c>
      <c r="H31" s="2"/>
      <c r="I31" s="16">
        <v>135755752</v>
      </c>
      <c r="J31" s="10"/>
      <c r="K31" s="16">
        <v>135511183</v>
      </c>
      <c r="L31" s="52"/>
      <c r="M31" s="52"/>
    </row>
    <row r="32" spans="1:13" ht="15">
      <c r="A32" s="75"/>
      <c r="B32" s="75"/>
      <c r="C32" s="2"/>
      <c r="D32" s="75"/>
      <c r="E32" s="2"/>
      <c r="F32" s="75"/>
      <c r="G32" s="2"/>
      <c r="H32" s="2"/>
      <c r="I32" s="2"/>
      <c r="J32" s="2"/>
      <c r="K32" s="52"/>
      <c r="L32" s="52"/>
      <c r="M32" s="52"/>
    </row>
    <row r="33" spans="1:13" ht="15.75">
      <c r="A33" s="2" t="s">
        <v>124</v>
      </c>
      <c r="B33" s="2"/>
      <c r="C33" s="54">
        <f>'Bal Sheet'!C46</f>
        <v>46.09</v>
      </c>
      <c r="D33" s="2"/>
      <c r="E33" s="54">
        <f>'Bal Sheet'!E46</f>
        <v>44.48</v>
      </c>
      <c r="F33" s="2"/>
      <c r="G33" s="54">
        <f>'Bal Sheet'!G46</f>
        <v>42.1</v>
      </c>
      <c r="H33" s="14"/>
      <c r="I33" s="54">
        <v>39.6</v>
      </c>
      <c r="J33" s="59"/>
      <c r="K33" s="54">
        <v>40.22</v>
      </c>
      <c r="L33" s="52"/>
      <c r="M33" s="52"/>
    </row>
    <row r="34" spans="1:13" ht="15.75">
      <c r="A34" s="2"/>
      <c r="B34" s="2"/>
      <c r="C34" s="54"/>
      <c r="D34" s="2"/>
      <c r="E34" s="54"/>
      <c r="F34" s="2"/>
      <c r="G34" s="54"/>
      <c r="H34" s="14"/>
      <c r="I34" s="54"/>
      <c r="J34" s="59"/>
      <c r="K34" s="54"/>
      <c r="L34" s="52"/>
      <c r="M34" s="52"/>
    </row>
    <row r="35" spans="1:13" ht="15.75">
      <c r="A35" s="56"/>
      <c r="B35" s="56"/>
      <c r="C35" s="7"/>
      <c r="D35" s="56"/>
      <c r="E35" s="7"/>
      <c r="F35" s="56"/>
      <c r="G35" s="7"/>
      <c r="I35" s="7"/>
      <c r="J35" s="7"/>
      <c r="K35" s="52"/>
      <c r="L35" s="52"/>
      <c r="M35" s="52"/>
    </row>
    <row r="36" spans="1:13" ht="15.75">
      <c r="A36" s="14" t="s">
        <v>347</v>
      </c>
      <c r="C36" s="7"/>
      <c r="E36" s="7"/>
      <c r="G36" s="7"/>
      <c r="I36" s="7"/>
      <c r="J36" s="7"/>
      <c r="K36" s="52"/>
      <c r="L36" s="52"/>
      <c r="M36" s="52"/>
    </row>
    <row r="37" spans="1:13" ht="15" customHeight="1">
      <c r="A37" s="335" t="s">
        <v>126</v>
      </c>
      <c r="B37" s="335"/>
      <c r="C37" s="335"/>
      <c r="D37" s="335"/>
      <c r="E37" s="335"/>
      <c r="F37" s="335"/>
      <c r="G37" s="335"/>
      <c r="H37" s="335"/>
      <c r="I37" s="335"/>
      <c r="J37" s="335"/>
      <c r="K37" s="335"/>
      <c r="L37" s="52"/>
      <c r="M37" s="52"/>
    </row>
    <row r="38" spans="1:13" ht="13.5" customHeight="1">
      <c r="A38" s="335"/>
      <c r="B38" s="335"/>
      <c r="C38" s="335"/>
      <c r="D38" s="335"/>
      <c r="E38" s="335"/>
      <c r="F38" s="335"/>
      <c r="G38" s="335"/>
      <c r="H38" s="335"/>
      <c r="I38" s="335"/>
      <c r="J38" s="335"/>
      <c r="K38" s="335"/>
      <c r="L38" s="52"/>
      <c r="M38" s="52"/>
    </row>
    <row r="39" spans="3:13" ht="15.75">
      <c r="C39" s="7"/>
      <c r="E39" s="7"/>
      <c r="G39" s="7"/>
      <c r="I39" s="7"/>
      <c r="J39" s="7"/>
      <c r="K39" s="52"/>
      <c r="L39" s="52"/>
      <c r="M39" s="52"/>
    </row>
    <row r="40" spans="3:13" ht="15.75">
      <c r="C40" s="7"/>
      <c r="E40" s="7"/>
      <c r="G40" s="7"/>
      <c r="I40" s="7"/>
      <c r="J40" s="7"/>
      <c r="K40" s="52"/>
      <c r="L40" s="52"/>
      <c r="M40" s="52"/>
    </row>
    <row r="41" spans="3:13" ht="15.75">
      <c r="C41" s="7"/>
      <c r="E41" s="7"/>
      <c r="G41" s="7"/>
      <c r="I41" s="7"/>
      <c r="J41" s="7"/>
      <c r="K41" s="52"/>
      <c r="L41" s="52"/>
      <c r="M41" s="52"/>
    </row>
    <row r="42" spans="3:13" ht="15.75">
      <c r="C42" s="7"/>
      <c r="E42" s="7"/>
      <c r="G42" s="7"/>
      <c r="I42" s="7"/>
      <c r="J42" s="7"/>
      <c r="K42" s="52"/>
      <c r="L42" s="52"/>
      <c r="M42" s="52"/>
    </row>
    <row r="43" spans="3:13" ht="15.75">
      <c r="C43" s="7"/>
      <c r="E43" s="7"/>
      <c r="G43" s="7"/>
      <c r="I43" s="7"/>
      <c r="J43" s="7"/>
      <c r="K43" s="52"/>
      <c r="L43" s="52"/>
      <c r="M43" s="52"/>
    </row>
    <row r="44" spans="3:13" ht="15.75">
      <c r="C44" s="7"/>
      <c r="E44" s="7"/>
      <c r="G44" s="7"/>
      <c r="I44" s="7"/>
      <c r="J44" s="7"/>
      <c r="K44" s="52"/>
      <c r="L44" s="52"/>
      <c r="M44" s="52"/>
    </row>
    <row r="45" spans="11:13" ht="15">
      <c r="K45" s="52"/>
      <c r="L45" s="52"/>
      <c r="M45" s="52"/>
    </row>
  </sheetData>
  <mergeCells count="1">
    <mergeCell ref="A37:K38"/>
  </mergeCells>
  <printOptions horizontalCentered="1" verticalCentered="1"/>
  <pageMargins left="0.46" right="0.47" top="1.24" bottom="1.58" header="0.5" footer="0.5"/>
  <pageSetup horizontalDpi="300" verticalDpi="300" orientation="landscape" scale="70" r:id="rId2"/>
  <headerFooter alignWithMargins="0">
    <oddHeader>&amp;L&amp;G&amp;C&amp;"Optima,Bold"&amp;18FINANCIAL HIGHLIGHTS - BALANCE SHEETS
&amp;"Optima,Regular"&amp;12(U.S. dollars in millions, except share and per share amounts)
(Unaudited)</oddHeader>
    <oddFooter>&amp;C&amp;"Optima,Regular"3</oddFooter>
  </headerFooter>
  <legacyDrawingHF r:id="rId1"/>
</worksheet>
</file>

<file path=xl/worksheets/sheet40.xml><?xml version="1.0" encoding="utf-8"?>
<worksheet xmlns="http://schemas.openxmlformats.org/spreadsheetml/2006/main" xmlns:r="http://schemas.openxmlformats.org/officeDocument/2006/relationships">
  <sheetPr codeName="Sheet41"/>
  <dimension ref="A1:K36"/>
  <sheetViews>
    <sheetView workbookViewId="0" topLeftCell="A1">
      <selection activeCell="C10" sqref="C10"/>
    </sheetView>
  </sheetViews>
  <sheetFormatPr defaultColWidth="9.140625" defaultRowHeight="12.75"/>
  <cols>
    <col min="1" max="1" width="68.140625" style="1" customWidth="1"/>
    <col min="2" max="2" width="20.140625" style="1" customWidth="1"/>
    <col min="3" max="3" width="15.421875" style="1" customWidth="1"/>
    <col min="4" max="4" width="18.7109375" style="1" customWidth="1"/>
    <col min="5" max="5" width="8.00390625" style="1" customWidth="1"/>
    <col min="6" max="6" width="13.8515625" style="1" bestFit="1" customWidth="1"/>
    <col min="7" max="16384" width="9.140625" style="1" customWidth="1"/>
  </cols>
  <sheetData>
    <row r="1" spans="2:4" ht="13.5">
      <c r="B1" s="13" t="s">
        <v>182</v>
      </c>
      <c r="D1" s="13" t="s">
        <v>182</v>
      </c>
    </row>
    <row r="2" spans="2:4" ht="13.5">
      <c r="B2" s="210" t="s">
        <v>27</v>
      </c>
      <c r="D2" s="210" t="s">
        <v>547</v>
      </c>
    </row>
    <row r="3" spans="2:4" ht="13.5">
      <c r="B3" s="211"/>
      <c r="D3" s="211"/>
    </row>
    <row r="4" spans="1:4" ht="13.5">
      <c r="A4" s="76" t="s">
        <v>370</v>
      </c>
      <c r="B4" s="212">
        <v>4866451</v>
      </c>
      <c r="D4" s="212">
        <v>5012655</v>
      </c>
    </row>
    <row r="5" spans="1:4" ht="13.5">
      <c r="A5" s="76" t="s">
        <v>65</v>
      </c>
      <c r="B5" s="97">
        <v>1312675</v>
      </c>
      <c r="D5" s="97">
        <v>1239970</v>
      </c>
    </row>
    <row r="6" spans="1:4" ht="14.25" thickBot="1">
      <c r="A6" s="76" t="s">
        <v>70</v>
      </c>
      <c r="B6" s="213">
        <f>SUM(B4:B5)</f>
        <v>6179126</v>
      </c>
      <c r="D6" s="213">
        <f>SUM(D4:D5)</f>
        <v>6252625</v>
      </c>
    </row>
    <row r="7" ht="14.25" thickTop="1">
      <c r="B7" s="14"/>
    </row>
    <row r="8" ht="13.5">
      <c r="B8" s="14"/>
    </row>
    <row r="9" ht="13.5">
      <c r="B9" s="14"/>
    </row>
    <row r="10" spans="1:2" ht="13.5">
      <c r="A10" s="76" t="s">
        <v>116</v>
      </c>
      <c r="B10" s="14"/>
    </row>
    <row r="11" spans="5:11" ht="13.5">
      <c r="E11" s="14"/>
      <c r="F11" s="14"/>
      <c r="G11" s="14"/>
      <c r="H11" s="14"/>
      <c r="I11" s="14"/>
      <c r="J11" s="14"/>
      <c r="K11" s="14"/>
    </row>
    <row r="12" spans="1:11" ht="13.5">
      <c r="A12" s="81"/>
      <c r="B12" s="203" t="s">
        <v>45</v>
      </c>
      <c r="D12" s="203"/>
      <c r="E12" s="14"/>
      <c r="F12" s="14"/>
      <c r="G12" s="14"/>
      <c r="H12" s="14"/>
      <c r="I12" s="14"/>
      <c r="J12" s="14"/>
      <c r="K12" s="14"/>
    </row>
    <row r="13" spans="1:4" ht="13.5">
      <c r="A13" s="14" t="s">
        <v>64</v>
      </c>
      <c r="B13" s="206" t="s">
        <v>47</v>
      </c>
      <c r="D13" s="187" t="s">
        <v>46</v>
      </c>
    </row>
    <row r="15" spans="1:5" ht="13.5">
      <c r="A15" s="76" t="s">
        <v>48</v>
      </c>
      <c r="B15" s="141" t="s">
        <v>54</v>
      </c>
      <c r="D15" s="204">
        <v>0.076</v>
      </c>
      <c r="E15" s="22"/>
    </row>
    <row r="16" spans="1:5" ht="13.5">
      <c r="A16" s="76" t="s">
        <v>49</v>
      </c>
      <c r="B16" s="207" t="s">
        <v>54</v>
      </c>
      <c r="D16" s="204">
        <v>0.075</v>
      </c>
      <c r="E16" s="22"/>
    </row>
    <row r="17" spans="1:5" ht="13.5">
      <c r="A17" s="76" t="s">
        <v>50</v>
      </c>
      <c r="B17" s="207" t="s">
        <v>54</v>
      </c>
      <c r="D17" s="204">
        <v>0.051</v>
      </c>
      <c r="E17" s="22"/>
    </row>
    <row r="18" spans="1:5" ht="13.5">
      <c r="A18" s="76" t="s">
        <v>51</v>
      </c>
      <c r="B18" s="207" t="s">
        <v>55</v>
      </c>
      <c r="D18" s="204">
        <v>0.049</v>
      </c>
      <c r="E18" s="22"/>
    </row>
    <row r="19" spans="1:5" ht="13.5">
      <c r="A19" s="76" t="s">
        <v>66</v>
      </c>
      <c r="B19" s="208" t="s">
        <v>56</v>
      </c>
      <c r="D19" s="204">
        <v>0.039</v>
      </c>
      <c r="E19" s="22"/>
    </row>
    <row r="20" spans="1:5" ht="13.5">
      <c r="A20" s="76" t="s">
        <v>52</v>
      </c>
      <c r="B20" s="207" t="s">
        <v>311</v>
      </c>
      <c r="D20" s="204">
        <v>0.035</v>
      </c>
      <c r="E20" s="22"/>
    </row>
    <row r="21" spans="1:5" ht="13.5">
      <c r="A21" s="76" t="s">
        <v>53</v>
      </c>
      <c r="B21" s="207" t="s">
        <v>57</v>
      </c>
      <c r="D21" s="204">
        <v>0.032</v>
      </c>
      <c r="E21" s="22"/>
    </row>
    <row r="22" spans="1:4" ht="13.5">
      <c r="A22" s="28"/>
      <c r="B22" s="209"/>
      <c r="D22" s="204"/>
    </row>
    <row r="23" spans="1:4" ht="13.5">
      <c r="A23" s="28"/>
      <c r="B23" s="209"/>
      <c r="D23" s="204"/>
    </row>
    <row r="24" spans="1:4" ht="13.5">
      <c r="A24" s="345" t="s">
        <v>68</v>
      </c>
      <c r="B24" s="332"/>
      <c r="C24" s="332"/>
      <c r="D24" s="332"/>
    </row>
    <row r="25" spans="1:4" ht="13.5">
      <c r="A25" s="332"/>
      <c r="B25" s="332"/>
      <c r="C25" s="332"/>
      <c r="D25" s="332"/>
    </row>
    <row r="26" spans="1:4" ht="13.5">
      <c r="A26" s="345" t="s">
        <v>69</v>
      </c>
      <c r="B26" s="332"/>
      <c r="C26" s="332"/>
      <c r="D26" s="332"/>
    </row>
    <row r="27" spans="1:4" ht="13.5">
      <c r="A27" s="332"/>
      <c r="B27" s="332"/>
      <c r="C27" s="332"/>
      <c r="D27" s="332"/>
    </row>
    <row r="28" spans="1:4" ht="13.5">
      <c r="A28" s="78"/>
      <c r="B28" s="78"/>
      <c r="C28" s="78"/>
      <c r="D28" s="78"/>
    </row>
    <row r="29" spans="1:4" ht="13.5">
      <c r="A29" s="78"/>
      <c r="B29" s="78"/>
      <c r="C29" s="78"/>
      <c r="D29" s="78"/>
    </row>
    <row r="30" ht="13.5">
      <c r="A30" s="14" t="s">
        <v>315</v>
      </c>
    </row>
    <row r="31" spans="1:4" ht="13.5" customHeight="1">
      <c r="A31" s="332" t="s">
        <v>58</v>
      </c>
      <c r="B31" s="332"/>
      <c r="C31" s="332"/>
      <c r="D31" s="332"/>
    </row>
    <row r="32" spans="1:4" ht="13.5">
      <c r="A32" s="332"/>
      <c r="B32" s="332"/>
      <c r="C32" s="332"/>
      <c r="D32" s="332"/>
    </row>
    <row r="33" spans="1:4" ht="13.5">
      <c r="A33" s="332"/>
      <c r="B33" s="332"/>
      <c r="C33" s="332"/>
      <c r="D33" s="332"/>
    </row>
    <row r="34" ht="13.5">
      <c r="A34" s="1" t="s">
        <v>59</v>
      </c>
    </row>
    <row r="35" spans="1:4" ht="13.5">
      <c r="A35" s="332" t="s">
        <v>71</v>
      </c>
      <c r="B35" s="332"/>
      <c r="C35" s="332"/>
      <c r="D35" s="332"/>
    </row>
    <row r="36" spans="1:4" ht="13.5">
      <c r="A36" s="332"/>
      <c r="B36" s="332"/>
      <c r="C36" s="332"/>
      <c r="D36" s="332"/>
    </row>
  </sheetData>
  <mergeCells count="4">
    <mergeCell ref="A31:D33"/>
    <mergeCell ref="A24:D25"/>
    <mergeCell ref="A26:D27"/>
    <mergeCell ref="A35:D36"/>
  </mergeCells>
  <printOptions horizontalCentered="1" verticalCentered="1"/>
  <pageMargins left="0.4" right="0.75" top="1.13" bottom="0.95" header="0.5" footer="0.4"/>
  <pageSetup horizontalDpi="600" verticalDpi="600" orientation="landscape" scale="70" r:id="rId2"/>
  <headerFooter alignWithMargins="0">
    <oddHeader>&amp;L&amp;G&amp;C&amp;"Optima,Bold"&amp;18RECOVERABLE AND REINSURANCE
BALANCES RECEIVABLE
&amp;"Optima,Regular"&amp;12(U.S. dollars in thousands)
(Unaudited)</oddHeader>
    <oddFooter>&amp;C&amp;"Optima,Regular"32</oddFooter>
  </headerFooter>
  <legacyDrawingHF r:id="rId1"/>
</worksheet>
</file>

<file path=xl/worksheets/sheet41.xml><?xml version="1.0" encoding="utf-8"?>
<worksheet xmlns="http://schemas.openxmlformats.org/spreadsheetml/2006/main" xmlns:r="http://schemas.openxmlformats.org/officeDocument/2006/relationships">
  <sheetPr codeName="Sheet37"/>
  <dimension ref="A5:M12"/>
  <sheetViews>
    <sheetView workbookViewId="0" topLeftCell="A3">
      <selection activeCell="E15" sqref="E15"/>
    </sheetView>
  </sheetViews>
  <sheetFormatPr defaultColWidth="9.140625" defaultRowHeight="12.75"/>
  <cols>
    <col min="1" max="4" width="9.140625" style="1" customWidth="1"/>
    <col min="5" max="5" width="7.421875" style="1" customWidth="1"/>
    <col min="6" max="16384" width="9.140625" style="1" customWidth="1"/>
  </cols>
  <sheetData>
    <row r="5" spans="1:13" ht="13.5">
      <c r="A5" s="14"/>
      <c r="B5" s="14"/>
      <c r="C5" s="14"/>
      <c r="D5" s="14"/>
      <c r="E5" s="14"/>
      <c r="F5" s="14"/>
      <c r="G5" s="14"/>
      <c r="H5" s="14"/>
      <c r="I5" s="14"/>
      <c r="J5" s="14"/>
      <c r="K5" s="14"/>
      <c r="L5" s="14"/>
      <c r="M5" s="14"/>
    </row>
    <row r="6" spans="1:13" ht="13.5">
      <c r="A6" s="14"/>
      <c r="B6" s="14"/>
      <c r="C6" s="14"/>
      <c r="D6" s="14"/>
      <c r="E6" s="14"/>
      <c r="F6" s="14"/>
      <c r="G6" s="14"/>
      <c r="H6" s="14"/>
      <c r="I6" s="14"/>
      <c r="J6" s="14"/>
      <c r="K6" s="14"/>
      <c r="L6" s="14"/>
      <c r="M6" s="14"/>
    </row>
    <row r="7" spans="1:13" ht="13.5">
      <c r="A7" s="14"/>
      <c r="B7" s="14"/>
      <c r="C7" s="14"/>
      <c r="D7" s="14"/>
      <c r="E7" s="14"/>
      <c r="F7" s="14"/>
      <c r="G7" s="14"/>
      <c r="H7" s="14"/>
      <c r="I7" s="14"/>
      <c r="J7" s="14"/>
      <c r="K7" s="14"/>
      <c r="L7" s="14"/>
      <c r="M7" s="14"/>
    </row>
    <row r="12" ht="33.75">
      <c r="B12" s="65" t="s">
        <v>567</v>
      </c>
    </row>
  </sheetData>
  <printOptions horizontalCentered="1" verticalCentered="1"/>
  <pageMargins left="0.75" right="0.86" top="0.75" bottom="3.5" header="0.25" footer="0.5"/>
  <pageSetup horizontalDpi="300" verticalDpi="300" orientation="landscape" scale="70" r:id="rId2"/>
  <headerFooter alignWithMargins="0">
    <oddHeader>&amp;L&amp;G</oddHeader>
    <oddFooter>&amp;C&amp;"Optima,Regular"33</oddFooter>
  </headerFooter>
  <legacyDrawingHF r:id="rId1"/>
</worksheet>
</file>

<file path=xl/worksheets/sheet42.xml><?xml version="1.0" encoding="utf-8"?>
<worksheet xmlns="http://schemas.openxmlformats.org/spreadsheetml/2006/main" xmlns:r="http://schemas.openxmlformats.org/officeDocument/2006/relationships">
  <dimension ref="A1:N33"/>
  <sheetViews>
    <sheetView workbookViewId="0" topLeftCell="A1">
      <selection activeCell="A5" sqref="A5"/>
    </sheetView>
  </sheetViews>
  <sheetFormatPr defaultColWidth="9.140625" defaultRowHeight="12.75"/>
  <cols>
    <col min="1" max="1" width="31.421875" style="217" customWidth="1"/>
    <col min="2" max="2" width="21.00390625" style="217" customWidth="1"/>
    <col min="3" max="3" width="3.8515625" style="217" customWidth="1"/>
    <col min="4" max="4" width="6.28125" style="217" bestFit="1" customWidth="1"/>
    <col min="5" max="5" width="4.00390625" style="217" customWidth="1"/>
    <col min="6" max="6" width="16.7109375" style="219" bestFit="1" customWidth="1"/>
    <col min="7" max="7" width="3.7109375" style="217" customWidth="1"/>
    <col min="8" max="8" width="6.00390625" style="217" customWidth="1"/>
    <col min="9" max="9" width="4.57421875" style="217" customWidth="1"/>
    <col min="10" max="10" width="15.57421875" style="219" bestFit="1" customWidth="1"/>
    <col min="11" max="11" width="5.421875" style="217" customWidth="1"/>
    <col min="12" max="12" width="6.28125" style="217" bestFit="1" customWidth="1"/>
    <col min="13" max="16384" width="9.140625" style="217" customWidth="1"/>
  </cols>
  <sheetData>
    <row r="1" ht="11.25">
      <c r="F1" s="218"/>
    </row>
    <row r="2" spans="9:14" ht="11.25">
      <c r="I2" s="220"/>
      <c r="J2" s="218"/>
      <c r="K2" s="220"/>
      <c r="L2" s="220"/>
      <c r="M2" s="220"/>
      <c r="N2" s="220"/>
    </row>
    <row r="3" spans="1:14" ht="11.25">
      <c r="A3" s="221"/>
      <c r="B3" s="222" t="s">
        <v>554</v>
      </c>
      <c r="D3" s="223" t="s">
        <v>341</v>
      </c>
      <c r="E3" s="221"/>
      <c r="F3" s="222" t="s">
        <v>554</v>
      </c>
      <c r="H3" s="223" t="s">
        <v>341</v>
      </c>
      <c r="I3" s="220"/>
      <c r="J3" s="222" t="s">
        <v>554</v>
      </c>
      <c r="K3" s="223"/>
      <c r="L3" s="223" t="s">
        <v>341</v>
      </c>
      <c r="M3" s="220"/>
      <c r="N3" s="220"/>
    </row>
    <row r="4" spans="2:12" s="224" customFormat="1" ht="11.25">
      <c r="B4" s="225" t="s">
        <v>179</v>
      </c>
      <c r="D4" s="226" t="s">
        <v>357</v>
      </c>
      <c r="F4" s="225" t="s">
        <v>180</v>
      </c>
      <c r="H4" s="226" t="s">
        <v>357</v>
      </c>
      <c r="J4" s="225" t="s">
        <v>181</v>
      </c>
      <c r="K4" s="227"/>
      <c r="L4" s="226" t="s">
        <v>357</v>
      </c>
    </row>
    <row r="6" spans="1:5" ht="11.25">
      <c r="A6" s="220" t="s">
        <v>77</v>
      </c>
      <c r="B6" s="220"/>
      <c r="C6" s="220"/>
      <c r="D6" s="220"/>
      <c r="E6" s="220"/>
    </row>
    <row r="7" spans="1:12" ht="11.25">
      <c r="A7" s="228" t="s">
        <v>339</v>
      </c>
      <c r="B7" s="219">
        <v>10744</v>
      </c>
      <c r="D7" s="229">
        <f>+B7/$B$12</f>
        <v>0.27572472694423916</v>
      </c>
      <c r="E7" s="228"/>
      <c r="F7" s="219">
        <f>10274+1</f>
        <v>10275</v>
      </c>
      <c r="H7" s="229">
        <f>+F7/$F$12</f>
        <v>0.2821571514780041</v>
      </c>
      <c r="J7" s="219">
        <f>'[1]S&amp;P Rating'!$J4/1000000</f>
        <v>6126.154225</v>
      </c>
      <c r="L7" s="230">
        <f>J7/$J$12</f>
        <v>0.2873244178795372</v>
      </c>
    </row>
    <row r="8" spans="1:12" ht="11.25">
      <c r="A8" s="228" t="s">
        <v>311</v>
      </c>
      <c r="B8" s="239">
        <v>4701</v>
      </c>
      <c r="D8" s="229">
        <f>+B8/$B$12</f>
        <v>0.12064239960581426</v>
      </c>
      <c r="E8" s="228"/>
      <c r="F8" s="239">
        <f>'[1]S&amp;P Rating'!$H5/1000000</f>
        <v>4044.244211445417</v>
      </c>
      <c r="H8" s="229">
        <f>+F8/$F$12</f>
        <v>0.11105717047034994</v>
      </c>
      <c r="J8" s="239">
        <f>'[1]S&amp;P Rating'!$J5/1000000</f>
        <v>2919.042364</v>
      </c>
      <c r="L8" s="230">
        <f>J8/$J$12</f>
        <v>0.13690679620492383</v>
      </c>
    </row>
    <row r="9" spans="1:12" ht="11.25">
      <c r="A9" s="228" t="s">
        <v>312</v>
      </c>
      <c r="B9" s="239">
        <v>9484.1</v>
      </c>
      <c r="D9" s="229">
        <f>+B9/$B$12</f>
        <v>0.24339174262954755</v>
      </c>
      <c r="E9" s="228"/>
      <c r="F9" s="239">
        <f>'[1]S&amp;P Rating'!$H6/1000000</f>
        <v>9354.336517960162</v>
      </c>
      <c r="H9" s="229">
        <f>+F9/$F$12</f>
        <v>0.2568752258758453</v>
      </c>
      <c r="J9" s="239">
        <f>'[1]S&amp;P Rating'!$J6/1000000</f>
        <v>4663.887865</v>
      </c>
      <c r="L9" s="230">
        <f>J9/$J$12</f>
        <v>0.2187422674404777</v>
      </c>
    </row>
    <row r="10" spans="1:12" ht="11.25">
      <c r="A10" s="228" t="s">
        <v>340</v>
      </c>
      <c r="B10" s="239">
        <v>13729.3</v>
      </c>
      <c r="D10" s="229">
        <f>+B10/$B$12</f>
        <v>0.35233688511127537</v>
      </c>
      <c r="E10" s="228"/>
      <c r="F10" s="239">
        <f>'[1]S&amp;P Rating'!$H7/1000000</f>
        <v>12434.295835045068</v>
      </c>
      <c r="H10" s="229">
        <f>+F10/$F$12</f>
        <v>0.34145260276896605</v>
      </c>
      <c r="J10" s="239">
        <f>'[1]S&amp;P Rating'!$J7/1000000</f>
        <v>7203.299472264261</v>
      </c>
      <c r="L10" s="230">
        <f>J10/$J$12</f>
        <v>0.3378438987438822</v>
      </c>
    </row>
    <row r="11" spans="1:12" ht="11.25">
      <c r="A11" s="228" t="s">
        <v>78</v>
      </c>
      <c r="B11" s="239">
        <v>308</v>
      </c>
      <c r="D11" s="229">
        <f>+B11/$B$12</f>
        <v>0.007904245709123759</v>
      </c>
      <c r="E11" s="228"/>
      <c r="F11" s="239">
        <v>309</v>
      </c>
      <c r="H11" s="229">
        <f>+F11/$F$12+0.001</f>
        <v>0.009485309956856765</v>
      </c>
      <c r="J11" s="239">
        <v>409</v>
      </c>
      <c r="L11" s="230">
        <f>J11/$J$12</f>
        <v>0.019182619731179018</v>
      </c>
    </row>
    <row r="12" spans="1:12" ht="12" thickBot="1">
      <c r="A12" s="228" t="s">
        <v>555</v>
      </c>
      <c r="B12" s="231">
        <f>SUM(B7:B11)</f>
        <v>38966.399999999994</v>
      </c>
      <c r="D12" s="232">
        <f>SUM(D7:D11)</f>
        <v>1.0000000000000002</v>
      </c>
      <c r="E12" s="228"/>
      <c r="F12" s="231">
        <f>SUM(F7:F11)-1</f>
        <v>36415.87656445065</v>
      </c>
      <c r="H12" s="232">
        <f>SUM(H7:H11)</f>
        <v>1.0010274605500222</v>
      </c>
      <c r="J12" s="231">
        <f>SUM(J7:J11)</f>
        <v>21321.38392626426</v>
      </c>
      <c r="K12" s="233"/>
      <c r="L12" s="232">
        <f>SUM(L7:L11)</f>
        <v>1</v>
      </c>
    </row>
    <row r="13" ht="12" thickTop="1"/>
    <row r="14" spans="1:8" ht="11.25">
      <c r="A14" s="220" t="s">
        <v>556</v>
      </c>
      <c r="B14" s="220"/>
      <c r="C14" s="220"/>
      <c r="D14" s="220"/>
      <c r="E14" s="220"/>
      <c r="H14" s="234"/>
    </row>
    <row r="15" spans="1:12" ht="11.25">
      <c r="A15" s="217" t="s">
        <v>1</v>
      </c>
      <c r="B15" s="219">
        <v>30073</v>
      </c>
      <c r="D15" s="229">
        <f aca="true" t="shared" si="0" ref="D15:D20">+B15/$B$21</f>
        <v>0.7717753939331725</v>
      </c>
      <c r="F15" s="219">
        <f>'[1]Region'!$B30/1000000</f>
        <v>28383.409787838857</v>
      </c>
      <c r="H15" s="229">
        <f aca="true" t="shared" si="1" ref="H15:H20">F15/$F$21</f>
        <v>0.7794110305462186</v>
      </c>
      <c r="J15" s="219">
        <f>'[1]Region'!$D30/1000000</f>
        <v>16720.96931817</v>
      </c>
      <c r="L15" s="230">
        <f>J15/$J$21</f>
        <v>0.7842485832328119</v>
      </c>
    </row>
    <row r="16" spans="1:12" ht="11.25">
      <c r="A16" s="217" t="s">
        <v>291</v>
      </c>
      <c r="B16" s="239">
        <v>3755</v>
      </c>
      <c r="D16" s="229">
        <f t="shared" si="0"/>
        <v>0.09636606272134682</v>
      </c>
      <c r="F16" s="239">
        <f>'[1]Region'!$B35/1000000-1</f>
        <v>3278.5228222397805</v>
      </c>
      <c r="H16" s="229">
        <f>F16/$F$21+0.001</f>
        <v>0.09102853676326282</v>
      </c>
      <c r="J16" s="239">
        <f>'[1]Region'!$D35/1000000</f>
        <v>1725.6133873042602</v>
      </c>
      <c r="L16" s="230">
        <f>J16/$J$21</f>
        <v>0.08093489249635502</v>
      </c>
    </row>
    <row r="17" spans="1:12" ht="11.25">
      <c r="A17" s="217" t="s">
        <v>572</v>
      </c>
      <c r="B17" s="239">
        <v>1680.8</v>
      </c>
      <c r="D17" s="229">
        <f t="shared" si="0"/>
        <v>0.04313504080480419</v>
      </c>
      <c r="F17" s="239">
        <f>'[1]Region'!$B31/1000000</f>
        <v>1697.0463196791625</v>
      </c>
      <c r="H17" s="229">
        <f t="shared" si="1"/>
        <v>0.04660104725939325</v>
      </c>
      <c r="J17" s="239">
        <f>'[1]Region'!$D31/1000000</f>
        <v>1241.232396</v>
      </c>
      <c r="L17" s="230">
        <f>J17/$J$21</f>
        <v>0.05821640656728415</v>
      </c>
    </row>
    <row r="18" spans="1:12" ht="11.25">
      <c r="A18" s="217" t="s">
        <v>573</v>
      </c>
      <c r="B18" s="239">
        <v>1452</v>
      </c>
      <c r="D18" s="229">
        <f t="shared" si="0"/>
        <v>0.03726325514551147</v>
      </c>
      <c r="F18" s="239">
        <f>'[1]Region'!$B32/1000000</f>
        <v>1178.5374392422027</v>
      </c>
      <c r="H18" s="229">
        <f t="shared" si="1"/>
        <v>0.03236274594642377</v>
      </c>
      <c r="J18" s="239">
        <f>'[1]Region'!$D32/1000000</f>
        <v>339.9999995</v>
      </c>
      <c r="L18" s="230">
        <f>J18/$J$21</f>
        <v>0.015946714142778793</v>
      </c>
    </row>
    <row r="19" spans="1:12" ht="11.25">
      <c r="A19" s="217" t="s">
        <v>575</v>
      </c>
      <c r="B19" s="239">
        <v>1055.6</v>
      </c>
      <c r="D19" s="229">
        <f t="shared" si="0"/>
        <v>0.027090283837191396</v>
      </c>
      <c r="F19" s="239">
        <f>'[1]Region'!$B33/1000000</f>
        <v>1097.356107</v>
      </c>
      <c r="H19" s="229">
        <f t="shared" si="1"/>
        <v>0.030133499132986987</v>
      </c>
      <c r="J19" s="239">
        <f>'[1]Region'!$D33/1000000</f>
        <v>582.885445</v>
      </c>
      <c r="L19" s="230">
        <f>J19/$J$21</f>
        <v>0.02733855171491378</v>
      </c>
    </row>
    <row r="20" spans="1:12" ht="11.25">
      <c r="A20" s="217" t="s">
        <v>574</v>
      </c>
      <c r="B20" s="239">
        <v>949.6</v>
      </c>
      <c r="D20" s="229">
        <f t="shared" si="0"/>
        <v>0.02436996355797362</v>
      </c>
      <c r="F20" s="239">
        <f>'[1]Region'!$B34/1000000</f>
        <v>780.61212</v>
      </c>
      <c r="H20" s="229">
        <f t="shared" si="1"/>
        <v>0.021435680260190264</v>
      </c>
      <c r="J20" s="239">
        <f>'[1]Region'!$D34/1000000</f>
        <v>710.3061802899999</v>
      </c>
      <c r="L20" s="230">
        <f>(J20/$J$21)+0.001</f>
        <v>0.03431485184585632</v>
      </c>
    </row>
    <row r="21" spans="2:12" ht="12" thickBot="1">
      <c r="B21" s="231">
        <f>SUM(B15:B20)</f>
        <v>38966</v>
      </c>
      <c r="D21" s="235">
        <f>SUM(D15:D20)</f>
        <v>1</v>
      </c>
      <c r="F21" s="231">
        <f>SUM(F15:F20)+1</f>
        <v>36416.484596</v>
      </c>
      <c r="H21" s="235">
        <f>SUM(H15:H20)-0.001</f>
        <v>0.9999725399084757</v>
      </c>
      <c r="J21" s="231">
        <f>SUM(J15:J20)</f>
        <v>21321.00672626426</v>
      </c>
      <c r="K21" s="233"/>
      <c r="L21" s="232">
        <f>SUM(L15:L20)</f>
        <v>1.001</v>
      </c>
    </row>
    <row r="22" spans="1:8" ht="12" thickTop="1">
      <c r="A22" s="237"/>
      <c r="B22" s="237"/>
      <c r="C22" s="237"/>
      <c r="D22" s="237"/>
      <c r="E22" s="237"/>
      <c r="F22" s="233"/>
      <c r="H22" s="236"/>
    </row>
    <row r="23" spans="1:8" ht="11.25">
      <c r="A23" s="220" t="s">
        <v>557</v>
      </c>
      <c r="B23" s="220"/>
      <c r="C23" s="220"/>
      <c r="D23" s="220"/>
      <c r="E23" s="220"/>
      <c r="H23" s="234"/>
    </row>
    <row r="24" spans="1:12" ht="11.25">
      <c r="A24" s="217" t="s">
        <v>79</v>
      </c>
      <c r="B24" s="219">
        <v>12428</v>
      </c>
      <c r="D24" s="229">
        <f aca="true" t="shared" si="2" ref="D24:D29">+B24/$B$30</f>
        <v>0.3189414469902275</v>
      </c>
      <c r="F24" s="219">
        <f>'[1]Sector'!$C25/1000000</f>
        <v>12148.438806127388</v>
      </c>
      <c r="H24" s="229">
        <f aca="true" t="shared" si="3" ref="H24:H29">F24/$F$30</f>
        <v>0.3335972414950793</v>
      </c>
      <c r="J24" s="219">
        <f>'[1]Sector'!$E25/1000000</f>
        <v>10237.36666</v>
      </c>
      <c r="L24" s="230">
        <f aca="true" t="shared" si="4" ref="L24:L29">J24/$J$30</f>
        <v>0.48015399982915025</v>
      </c>
    </row>
    <row r="25" spans="1:12" ht="11.25">
      <c r="A25" s="217" t="s">
        <v>559</v>
      </c>
      <c r="B25" s="239">
        <v>8944</v>
      </c>
      <c r="D25" s="229">
        <f t="shared" si="2"/>
        <v>0.22953108318961976</v>
      </c>
      <c r="F25" s="239">
        <f>'[1]Sector'!$C26/1000000</f>
        <v>9845.00684116624</v>
      </c>
      <c r="H25" s="229">
        <f t="shared" si="3"/>
        <v>0.2703447889169705</v>
      </c>
      <c r="J25" s="239">
        <f>'[1]Sector'!$E26/1000000</f>
        <v>4218.417554</v>
      </c>
      <c r="L25" s="230">
        <f t="shared" si="4"/>
        <v>0.1978526440218954</v>
      </c>
    </row>
    <row r="26" spans="1:12" ht="11.25">
      <c r="A26" s="217" t="s">
        <v>558</v>
      </c>
      <c r="B26" s="239">
        <v>8544.8</v>
      </c>
      <c r="D26" s="229">
        <f t="shared" si="2"/>
        <v>0.21928635953026193</v>
      </c>
      <c r="F26" s="239">
        <f>'[1]Sector'!$C27/1000000</f>
        <v>8240.066587577037</v>
      </c>
      <c r="H26" s="229">
        <f t="shared" si="3"/>
        <v>0.22627298266218443</v>
      </c>
      <c r="J26" s="239">
        <f>'[1]Sector'!$E27/1000000</f>
        <v>3088.7563709622605</v>
      </c>
      <c r="L26" s="230">
        <f t="shared" si="4"/>
        <v>0.14486916169663694</v>
      </c>
    </row>
    <row r="27" spans="1:12" ht="11.25">
      <c r="A27" s="217" t="s">
        <v>560</v>
      </c>
      <c r="B27" s="239">
        <v>7035.6</v>
      </c>
      <c r="D27" s="229">
        <f t="shared" si="2"/>
        <v>0.18055555555555555</v>
      </c>
      <c r="F27" s="239">
        <f>'[1]Sector'!$C28/1000000</f>
        <v>5022.563140295871</v>
      </c>
      <c r="H27" s="229">
        <f t="shared" si="3"/>
        <v>0.13792004351970524</v>
      </c>
      <c r="J27" s="239">
        <f>'[1]Sector'!$E28/1000000</f>
        <v>2694.934185302</v>
      </c>
      <c r="L27" s="230">
        <f t="shared" si="4"/>
        <v>0.12639807397003672</v>
      </c>
    </row>
    <row r="28" spans="1:12" ht="11.25">
      <c r="A28" s="217" t="s">
        <v>562</v>
      </c>
      <c r="B28" s="239">
        <v>1714</v>
      </c>
      <c r="D28" s="229">
        <f t="shared" si="2"/>
        <v>0.043986614108565324</v>
      </c>
      <c r="F28" s="239">
        <f>'[1]Sector'!$C29/1000000</f>
        <v>742.8125106948</v>
      </c>
      <c r="H28" s="229">
        <f>F28/$F$30+0.001</f>
        <v>0.021397699529163764</v>
      </c>
      <c r="J28" s="239">
        <f>'[1]Sector'!$E29/1000000</f>
        <v>1026.287042</v>
      </c>
      <c r="L28" s="230">
        <f t="shared" si="4"/>
        <v>0.048135017974351525</v>
      </c>
    </row>
    <row r="29" spans="1:12" ht="11.25">
      <c r="A29" s="217" t="s">
        <v>561</v>
      </c>
      <c r="B29" s="239">
        <v>299</v>
      </c>
      <c r="D29" s="229">
        <f t="shared" si="2"/>
        <v>0.007673277490350661</v>
      </c>
      <c r="F29" s="239">
        <f>'[1]Sector'!$C30/1000000-1</f>
        <v>416.59671</v>
      </c>
      <c r="H29" s="229">
        <f t="shared" si="3"/>
        <v>0.011439783785372448</v>
      </c>
      <c r="J29" s="239">
        <f>'[1]Sector'!$E30/1000000+1</f>
        <v>56.244914</v>
      </c>
      <c r="L29" s="230">
        <f t="shared" si="4"/>
        <v>0.002638004608418174</v>
      </c>
    </row>
    <row r="30" spans="1:12" ht="12" thickBot="1">
      <c r="A30" s="228" t="s">
        <v>555</v>
      </c>
      <c r="B30" s="231">
        <f>SUM(B24:B29)+1</f>
        <v>38966.4</v>
      </c>
      <c r="C30" s="228"/>
      <c r="D30" s="238">
        <f>SUM(D24:D29)</f>
        <v>0.9999743368645806</v>
      </c>
      <c r="E30" s="228"/>
      <c r="F30" s="231">
        <f>SUM(F24:F29)+1</f>
        <v>36416.48459586133</v>
      </c>
      <c r="H30" s="235">
        <f>SUM(H24:H29)-0.001</f>
        <v>0.9999725399084757</v>
      </c>
      <c r="J30" s="231">
        <f>SUM(J24:J29)-1</f>
        <v>21321.00672626426</v>
      </c>
      <c r="K30" s="233"/>
      <c r="L30" s="238">
        <f>SUM(L24:L29)</f>
        <v>1.000046902100489</v>
      </c>
    </row>
    <row r="31" ht="12" thickTop="1">
      <c r="H31" s="229"/>
    </row>
    <row r="32" spans="1:5" ht="11.25">
      <c r="A32" s="220" t="s">
        <v>315</v>
      </c>
      <c r="B32" s="220"/>
      <c r="C32" s="220"/>
      <c r="D32" s="220"/>
      <c r="E32" s="220"/>
    </row>
    <row r="33" ht="11.25">
      <c r="A33" s="217" t="s">
        <v>290</v>
      </c>
    </row>
  </sheetData>
  <printOptions horizontalCentered="1" verticalCentered="1"/>
  <pageMargins left="0.75" right="0.75" top="1" bottom="1" header="0.5" footer="0.5"/>
  <pageSetup horizontalDpi="300" verticalDpi="300" orientation="landscape" scale="70" r:id="rId2"/>
  <headerFooter alignWithMargins="0">
    <oddHeader>&amp;L&amp;G&amp;C&amp;"Optima,Bold"&amp;18XL FINANCIAL GUARANTEE AGGREGATE
INSURED PORTFOLIOS&amp;12
&amp;"Optima,Regular"(U.S. dollars in thousands)
(Unaudited)
</oddHeader>
    <oddFooter>&amp;C&amp;"Optima,Regular"34</oddFooter>
  </headerFooter>
  <legacyDrawingHF r:id="rId1"/>
</worksheet>
</file>

<file path=xl/worksheets/sheet43.xml><?xml version="1.0" encoding="utf-8"?>
<worksheet xmlns="http://schemas.openxmlformats.org/spreadsheetml/2006/main" xmlns:r="http://schemas.openxmlformats.org/officeDocument/2006/relationships">
  <dimension ref="A3:AV37"/>
  <sheetViews>
    <sheetView workbookViewId="0" topLeftCell="A14">
      <selection activeCell="A35" sqref="A35:IV40"/>
    </sheetView>
  </sheetViews>
  <sheetFormatPr defaultColWidth="9.140625" defaultRowHeight="12.75"/>
  <cols>
    <col min="1" max="1" width="29.57421875" style="217" customWidth="1"/>
    <col min="2" max="2" width="4.00390625" style="217" customWidth="1"/>
    <col min="3" max="3" width="22.7109375" style="217" customWidth="1"/>
    <col min="4" max="4" width="4.00390625" style="217" customWidth="1"/>
    <col min="5" max="5" width="6.421875" style="217" bestFit="1" customWidth="1"/>
    <col min="6" max="6" width="4.00390625" style="217" customWidth="1"/>
    <col min="7" max="7" width="22.7109375" style="217" customWidth="1"/>
    <col min="8" max="8" width="2.8515625" style="217" customWidth="1"/>
    <col min="9" max="9" width="6.28125" style="217" bestFit="1" customWidth="1"/>
    <col min="10" max="10" width="3.7109375" style="320" customWidth="1"/>
    <col min="11" max="11" width="18.57421875" style="217" customWidth="1"/>
    <col min="12" max="12" width="3.140625" style="217" customWidth="1"/>
    <col min="13" max="13" width="7.00390625" style="217" customWidth="1"/>
    <col min="14" max="14" width="3.28125" style="320" customWidth="1"/>
    <col min="15" max="15" width="21.00390625" style="217" bestFit="1" customWidth="1"/>
    <col min="16" max="16" width="3.140625" style="217" customWidth="1"/>
    <col min="17" max="17" width="8.140625" style="217" customWidth="1"/>
    <col min="18" max="18" width="3.28125" style="320" customWidth="1"/>
    <col min="19" max="19" width="21.421875" style="217" bestFit="1" customWidth="1"/>
    <col min="20" max="20" width="3.57421875" style="217" customWidth="1"/>
    <col min="21" max="16384" width="9.140625" style="217" customWidth="1"/>
  </cols>
  <sheetData>
    <row r="3" spans="3:22" ht="11.25">
      <c r="C3" s="223" t="s">
        <v>554</v>
      </c>
      <c r="E3" s="223" t="s">
        <v>341</v>
      </c>
      <c r="G3" s="223" t="s">
        <v>554</v>
      </c>
      <c r="I3" s="223" t="s">
        <v>341</v>
      </c>
      <c r="J3" s="319"/>
      <c r="K3" s="223" t="s">
        <v>554</v>
      </c>
      <c r="M3" s="223" t="s">
        <v>341</v>
      </c>
      <c r="N3" s="236"/>
      <c r="O3" s="233"/>
      <c r="P3" s="320"/>
      <c r="Q3" s="236"/>
      <c r="R3" s="236"/>
      <c r="S3" s="233"/>
      <c r="T3" s="320"/>
      <c r="U3" s="236"/>
      <c r="V3" s="320"/>
    </row>
    <row r="4" spans="2:22" ht="11.25">
      <c r="B4" s="220"/>
      <c r="C4" s="329" t="s">
        <v>179</v>
      </c>
      <c r="D4" s="220"/>
      <c r="E4" s="321" t="s">
        <v>357</v>
      </c>
      <c r="F4" s="220"/>
      <c r="G4" s="329" t="s">
        <v>180</v>
      </c>
      <c r="I4" s="321" t="s">
        <v>357</v>
      </c>
      <c r="J4" s="322"/>
      <c r="K4" s="329" t="s">
        <v>181</v>
      </c>
      <c r="M4" s="321" t="s">
        <v>357</v>
      </c>
      <c r="N4" s="236"/>
      <c r="O4" s="233"/>
      <c r="P4" s="320"/>
      <c r="Q4" s="236"/>
      <c r="R4" s="236"/>
      <c r="S4" s="233"/>
      <c r="T4" s="320"/>
      <c r="U4" s="236"/>
      <c r="V4" s="320"/>
    </row>
    <row r="5" spans="2:22" ht="11.25">
      <c r="B5" s="220"/>
      <c r="C5" s="323"/>
      <c r="D5" s="220"/>
      <c r="F5" s="220"/>
      <c r="G5" s="323"/>
      <c r="K5" s="323"/>
      <c r="N5" s="236"/>
      <c r="O5" s="233"/>
      <c r="P5" s="320"/>
      <c r="Q5" s="236"/>
      <c r="R5" s="236"/>
      <c r="S5" s="233"/>
      <c r="T5" s="320"/>
      <c r="U5" s="236"/>
      <c r="V5" s="320"/>
    </row>
    <row r="6" spans="1:22" ht="11.25">
      <c r="A6" s="220" t="s">
        <v>165</v>
      </c>
      <c r="N6" s="236"/>
      <c r="O6" s="233"/>
      <c r="P6" s="320"/>
      <c r="Q6" s="236"/>
      <c r="R6" s="236"/>
      <c r="S6" s="233"/>
      <c r="T6" s="320"/>
      <c r="U6" s="236"/>
      <c r="V6" s="320"/>
    </row>
    <row r="7" spans="1:22" ht="11.25">
      <c r="A7" s="228" t="s">
        <v>339</v>
      </c>
      <c r="B7" s="228"/>
      <c r="C7" s="219">
        <v>7459</v>
      </c>
      <c r="D7" s="228"/>
      <c r="E7" s="229">
        <f>+C7/$C$12</f>
        <v>0.600164946794601</v>
      </c>
      <c r="F7" s="228"/>
      <c r="G7" s="219">
        <f>'[1]CDO - S&amp;P Rating'!$B25/1000000</f>
        <v>6986.845115197188</v>
      </c>
      <c r="I7" s="229">
        <f>+G7/$G$12</f>
        <v>0.5751228801245792</v>
      </c>
      <c r="J7" s="325"/>
      <c r="K7" s="219">
        <v>5772.94803964739</v>
      </c>
      <c r="M7" s="229">
        <f>K7/$K$12</f>
        <v>0.5639426873443366</v>
      </c>
      <c r="N7" s="236"/>
      <c r="O7" s="233"/>
      <c r="P7" s="320"/>
      <c r="Q7" s="236"/>
      <c r="R7" s="236"/>
      <c r="S7" s="233"/>
      <c r="T7" s="320"/>
      <c r="U7" s="236"/>
      <c r="V7" s="320"/>
    </row>
    <row r="8" spans="1:22" ht="11.25">
      <c r="A8" s="228" t="s">
        <v>311</v>
      </c>
      <c r="B8" s="228"/>
      <c r="C8" s="219">
        <f>386.3+1565+577</f>
        <v>2528.3</v>
      </c>
      <c r="D8" s="228"/>
      <c r="E8" s="229">
        <f>+C8/$C$12</f>
        <v>0.20343169794621127</v>
      </c>
      <c r="F8" s="228"/>
      <c r="G8" s="219">
        <f>'[1]CDO - S&amp;P Rating'!$B26/1000000</f>
        <v>2528.2194159302003</v>
      </c>
      <c r="I8" s="229">
        <f>+G8/$G$12</f>
        <v>0.2081106433737828</v>
      </c>
      <c r="J8" s="325"/>
      <c r="K8" s="219">
        <v>1444.4272911774874</v>
      </c>
      <c r="M8" s="229">
        <f>K8/$K$12</f>
        <v>0.14110194698892298</v>
      </c>
      <c r="N8" s="236"/>
      <c r="O8" s="233"/>
      <c r="P8" s="320"/>
      <c r="Q8" s="236"/>
      <c r="R8" s="236"/>
      <c r="S8" s="233"/>
      <c r="T8" s="320"/>
      <c r="U8" s="236"/>
      <c r="V8" s="320"/>
    </row>
    <row r="9" spans="1:22" ht="11.25">
      <c r="A9" s="228" t="s">
        <v>312</v>
      </c>
      <c r="B9" s="228"/>
      <c r="C9" s="219">
        <f>100+440+255</f>
        <v>795</v>
      </c>
      <c r="D9" s="228"/>
      <c r="E9" s="229">
        <f>+C9/$C$12</f>
        <v>0.06396717156478185</v>
      </c>
      <c r="F9" s="228"/>
      <c r="G9" s="219">
        <f>'[1]CDO - S&amp;P Rating'!$B27/1000000</f>
        <v>838.133127</v>
      </c>
      <c r="I9" s="229">
        <f>+G9/$G$12</f>
        <v>0.06899101525516721</v>
      </c>
      <c r="J9" s="325"/>
      <c r="K9" s="219">
        <v>1063.067959095731</v>
      </c>
      <c r="M9" s="229">
        <f>K9/$K$12</f>
        <v>0.10384805086843009</v>
      </c>
      <c r="N9" s="236"/>
      <c r="O9" s="233"/>
      <c r="P9" s="320"/>
      <c r="Q9" s="236"/>
      <c r="R9" s="236"/>
      <c r="S9" s="233"/>
      <c r="T9" s="320"/>
      <c r="U9" s="236"/>
      <c r="V9" s="320"/>
    </row>
    <row r="10" spans="1:22" ht="11.25">
      <c r="A10" s="228" t="s">
        <v>340</v>
      </c>
      <c r="B10" s="228"/>
      <c r="C10" s="219">
        <f>396+80+1012</f>
        <v>1488</v>
      </c>
      <c r="D10" s="228"/>
      <c r="E10" s="229">
        <f>+C10/$C$12</f>
        <v>0.11972723432502565</v>
      </c>
      <c r="F10" s="228"/>
      <c r="G10" s="219">
        <f>'[1]CDO - S&amp;P Rating'!$B28/1000000</f>
        <v>1637.261162</v>
      </c>
      <c r="I10" s="229">
        <f>+G10/$G$12</f>
        <v>0.13477132231791</v>
      </c>
      <c r="J10" s="325"/>
      <c r="K10" s="219">
        <v>1956.3204259683016</v>
      </c>
      <c r="M10" s="229">
        <f>K10/$K$12</f>
        <v>0.19110731479831017</v>
      </c>
      <c r="N10" s="236"/>
      <c r="O10" s="233"/>
      <c r="P10" s="320"/>
      <c r="Q10" s="236"/>
      <c r="R10" s="236"/>
      <c r="S10" s="233"/>
      <c r="T10" s="320"/>
      <c r="U10" s="236"/>
      <c r="V10" s="320"/>
    </row>
    <row r="11" spans="1:22" ht="11.25">
      <c r="A11" s="228" t="s">
        <v>470</v>
      </c>
      <c r="B11" s="228"/>
      <c r="C11" s="219">
        <f>128+26.25+3.7</f>
        <v>157.95</v>
      </c>
      <c r="D11" s="228"/>
      <c r="E11" s="229">
        <f>+C11/$C$12</f>
        <v>0.012708949369380242</v>
      </c>
      <c r="F11" s="228"/>
      <c r="G11" s="219">
        <f>'[1]CDO - S&amp;P Rating'!$B29/1000000</f>
        <v>157.979986</v>
      </c>
      <c r="I11" s="229">
        <f>+G11/$G$12</f>
        <v>0.013004138928560812</v>
      </c>
      <c r="J11" s="325"/>
      <c r="K11" s="219">
        <v>0</v>
      </c>
      <c r="M11" s="229">
        <f>K11/$K$12</f>
        <v>0</v>
      </c>
      <c r="N11" s="236"/>
      <c r="O11" s="233"/>
      <c r="P11" s="320"/>
      <c r="Q11" s="236"/>
      <c r="R11" s="236"/>
      <c r="S11" s="233"/>
      <c r="T11" s="320"/>
      <c r="U11" s="236"/>
      <c r="V11" s="320"/>
    </row>
    <row r="12" spans="1:22" ht="12" thickBot="1">
      <c r="A12" s="228" t="s">
        <v>555</v>
      </c>
      <c r="C12" s="231">
        <f>SUM(C7:C11)</f>
        <v>12428.25</v>
      </c>
      <c r="E12" s="232">
        <f>SUM(E7:E11)</f>
        <v>1</v>
      </c>
      <c r="G12" s="231">
        <f>SUM(G7:G11)</f>
        <v>12148.438806127388</v>
      </c>
      <c r="I12" s="232">
        <f>SUM(I7:I11)</f>
        <v>1</v>
      </c>
      <c r="J12" s="236"/>
      <c r="K12" s="231">
        <f>SUM(K7:K11)</f>
        <v>10236.763715888912</v>
      </c>
      <c r="M12" s="232">
        <f>SUM(M7:M11)</f>
        <v>0.9999999999999998</v>
      </c>
      <c r="N12" s="327"/>
      <c r="O12" s="233"/>
      <c r="P12" s="320"/>
      <c r="Q12" s="327"/>
      <c r="R12" s="327"/>
      <c r="S12" s="320"/>
      <c r="T12" s="320"/>
      <c r="U12" s="327"/>
      <c r="V12" s="320"/>
    </row>
    <row r="13" spans="1:22" ht="12" thickTop="1">
      <c r="A13" s="228"/>
      <c r="C13" s="233"/>
      <c r="E13" s="236"/>
      <c r="G13" s="233"/>
      <c r="I13" s="236"/>
      <c r="J13" s="236"/>
      <c r="K13" s="233"/>
      <c r="M13" s="236"/>
      <c r="N13" s="327"/>
      <c r="O13" s="233"/>
      <c r="P13" s="320"/>
      <c r="Q13" s="327"/>
      <c r="R13" s="327"/>
      <c r="S13" s="320"/>
      <c r="T13" s="320"/>
      <c r="U13" s="327"/>
      <c r="V13" s="320"/>
    </row>
    <row r="14" spans="1:22" ht="11.25">
      <c r="A14" s="228"/>
      <c r="C14" s="233"/>
      <c r="E14" s="236"/>
      <c r="G14" s="233"/>
      <c r="I14" s="236"/>
      <c r="J14" s="236"/>
      <c r="K14" s="233"/>
      <c r="M14" s="236"/>
      <c r="N14" s="327"/>
      <c r="O14" s="233"/>
      <c r="P14" s="320"/>
      <c r="Q14" s="327"/>
      <c r="R14" s="327"/>
      <c r="S14" s="320"/>
      <c r="T14" s="320"/>
      <c r="U14" s="327"/>
      <c r="V14" s="320"/>
    </row>
    <row r="15" spans="3:22" ht="11.25">
      <c r="C15" s="223" t="s">
        <v>554</v>
      </c>
      <c r="E15" s="223" t="s">
        <v>341</v>
      </c>
      <c r="G15" s="223" t="s">
        <v>554</v>
      </c>
      <c r="I15" s="223" t="s">
        <v>341</v>
      </c>
      <c r="J15" s="319"/>
      <c r="K15" s="223" t="s">
        <v>554</v>
      </c>
      <c r="M15" s="223" t="s">
        <v>341</v>
      </c>
      <c r="N15" s="319"/>
      <c r="O15" s="233"/>
      <c r="P15" s="320"/>
      <c r="Q15" s="319"/>
      <c r="S15" s="319"/>
      <c r="T15" s="320"/>
      <c r="U15" s="319"/>
      <c r="V15" s="320"/>
    </row>
    <row r="16" spans="2:22" ht="11.25">
      <c r="B16" s="220"/>
      <c r="C16" s="329" t="s">
        <v>179</v>
      </c>
      <c r="D16" s="220"/>
      <c r="E16" s="321" t="s">
        <v>357</v>
      </c>
      <c r="F16" s="220"/>
      <c r="G16" s="329" t="s">
        <v>180</v>
      </c>
      <c r="I16" s="321" t="s">
        <v>357</v>
      </c>
      <c r="J16" s="322"/>
      <c r="K16" s="329" t="s">
        <v>181</v>
      </c>
      <c r="M16" s="321" t="s">
        <v>357</v>
      </c>
      <c r="N16" s="322"/>
      <c r="O16" s="233"/>
      <c r="P16" s="320"/>
      <c r="Q16" s="322"/>
      <c r="S16" s="324"/>
      <c r="T16" s="320"/>
      <c r="U16" s="322"/>
      <c r="V16" s="320"/>
    </row>
    <row r="17" spans="2:22" ht="11.25">
      <c r="B17" s="220"/>
      <c r="C17" s="323"/>
      <c r="D17" s="220"/>
      <c r="F17" s="220"/>
      <c r="G17" s="323"/>
      <c r="K17" s="323"/>
      <c r="O17" s="233"/>
      <c r="P17" s="320"/>
      <c r="Q17" s="320"/>
      <c r="S17" s="320"/>
      <c r="T17" s="320"/>
      <c r="U17" s="320"/>
      <c r="V17" s="320"/>
    </row>
    <row r="18" spans="1:22" ht="11.25">
      <c r="A18" s="220" t="s">
        <v>158</v>
      </c>
      <c r="O18" s="233"/>
      <c r="P18" s="320"/>
      <c r="Q18" s="320"/>
      <c r="S18" s="320"/>
      <c r="T18" s="320"/>
      <c r="U18" s="320"/>
      <c r="V18" s="320"/>
    </row>
    <row r="19" spans="1:22" ht="11.25">
      <c r="A19" s="228" t="s">
        <v>159</v>
      </c>
      <c r="B19" s="228"/>
      <c r="C19" s="219">
        <v>4526</v>
      </c>
      <c r="D19" s="228"/>
      <c r="E19" s="230">
        <f>+C19/$C$23</f>
        <v>0.3641776633408433</v>
      </c>
      <c r="F19" s="228"/>
      <c r="G19" s="219">
        <v>4219.029562518025</v>
      </c>
      <c r="I19" s="229">
        <v>0.3472898559105426</v>
      </c>
      <c r="J19" s="325"/>
      <c r="K19" s="219">
        <v>3348.7579395911703</v>
      </c>
      <c r="M19" s="229">
        <f>K19/$K$23</f>
        <v>0.3271305300105667</v>
      </c>
      <c r="N19" s="325"/>
      <c r="O19" s="233"/>
      <c r="P19" s="320"/>
      <c r="Q19" s="325"/>
      <c r="R19" s="325"/>
      <c r="S19" s="326"/>
      <c r="T19" s="320"/>
      <c r="U19" s="325"/>
      <c r="V19" s="320"/>
    </row>
    <row r="20" spans="1:22" ht="11.25">
      <c r="A20" s="228" t="s">
        <v>160</v>
      </c>
      <c r="B20" s="228"/>
      <c r="C20" s="219">
        <v>4436</v>
      </c>
      <c r="D20" s="228"/>
      <c r="E20" s="230">
        <f>+C20/$C$23</f>
        <v>0.35693595107821047</v>
      </c>
      <c r="F20" s="228"/>
      <c r="G20" s="219">
        <v>4533.840664609363</v>
      </c>
      <c r="I20" s="229">
        <v>0.3732035644220062</v>
      </c>
      <c r="J20" s="325"/>
      <c r="K20" s="219">
        <v>3793.134731566065</v>
      </c>
      <c r="M20" s="229">
        <f>K20/$K$23</f>
        <v>0.37054042051489194</v>
      </c>
      <c r="N20" s="325"/>
      <c r="O20" s="233"/>
      <c r="P20" s="320"/>
      <c r="Q20" s="325"/>
      <c r="R20" s="325"/>
      <c r="S20" s="326"/>
      <c r="T20" s="320"/>
      <c r="U20" s="325"/>
      <c r="V20" s="320"/>
    </row>
    <row r="21" spans="1:22" ht="11.25">
      <c r="A21" s="228" t="s">
        <v>161</v>
      </c>
      <c r="B21" s="228"/>
      <c r="C21" s="219">
        <v>3156</v>
      </c>
      <c r="D21" s="228"/>
      <c r="E21" s="230">
        <f>+C21/$C$23</f>
        <v>0.2539427100096556</v>
      </c>
      <c r="F21" s="228"/>
      <c r="G21" s="219">
        <v>3156.232385</v>
      </c>
      <c r="I21" s="229">
        <v>0.2598055960415317</v>
      </c>
      <c r="J21" s="325"/>
      <c r="K21" s="219">
        <v>2897.710778434929</v>
      </c>
      <c r="M21" s="229">
        <f>K21/$K$23</f>
        <v>0.28306903032904107</v>
      </c>
      <c r="N21" s="325"/>
      <c r="O21" s="233"/>
      <c r="P21" s="320"/>
      <c r="Q21" s="325"/>
      <c r="R21" s="325"/>
      <c r="S21" s="233"/>
      <c r="T21" s="320"/>
      <c r="U21" s="325"/>
      <c r="V21" s="320"/>
    </row>
    <row r="22" spans="1:22" ht="11.25">
      <c r="A22" s="228" t="s">
        <v>515</v>
      </c>
      <c r="B22" s="228"/>
      <c r="C22" s="219">
        <v>310</v>
      </c>
      <c r="D22" s="228"/>
      <c r="E22" s="230">
        <f>+C22/$C$23</f>
        <v>0.024943675571290635</v>
      </c>
      <c r="F22" s="228"/>
      <c r="G22" s="219">
        <v>239.336194</v>
      </c>
      <c r="I22" s="229">
        <v>0.019700983625919443</v>
      </c>
      <c r="J22" s="325"/>
      <c r="K22" s="219">
        <v>197.16026513358193</v>
      </c>
      <c r="M22" s="229">
        <f>K22/$K$23</f>
        <v>0.019260019145500427</v>
      </c>
      <c r="N22" s="325"/>
      <c r="O22" s="233"/>
      <c r="P22" s="320"/>
      <c r="Q22" s="325"/>
      <c r="R22" s="325"/>
      <c r="S22" s="326"/>
      <c r="T22" s="320"/>
      <c r="U22" s="325"/>
      <c r="V22" s="320"/>
    </row>
    <row r="23" spans="1:22" ht="12" thickBot="1">
      <c r="A23" s="228" t="s">
        <v>555</v>
      </c>
      <c r="C23" s="231">
        <f>SUM(C19:C22)</f>
        <v>12428</v>
      </c>
      <c r="E23" s="235">
        <f>SUM(E19:E22)</f>
        <v>1</v>
      </c>
      <c r="G23" s="231">
        <v>12148.438806127388</v>
      </c>
      <c r="I23" s="232">
        <v>1</v>
      </c>
      <c r="J23" s="236"/>
      <c r="K23" s="231">
        <f>SUM(K19:K22)</f>
        <v>10236.763714725745</v>
      </c>
      <c r="M23" s="232">
        <f>SUM(M19:M22)</f>
        <v>1</v>
      </c>
      <c r="N23" s="236"/>
      <c r="O23" s="233"/>
      <c r="P23" s="320"/>
      <c r="Q23" s="236"/>
      <c r="R23" s="236"/>
      <c r="S23" s="233"/>
      <c r="T23" s="320"/>
      <c r="U23" s="236"/>
      <c r="V23" s="320"/>
    </row>
    <row r="24" spans="5:15" ht="12" thickTop="1">
      <c r="E24" s="234"/>
      <c r="I24" s="234"/>
      <c r="J24" s="327"/>
      <c r="M24" s="234"/>
      <c r="N24" s="327"/>
      <c r="O24" s="233"/>
    </row>
    <row r="25" spans="5:48" ht="11.25">
      <c r="E25" s="320"/>
      <c r="I25" s="320"/>
      <c r="K25" s="320"/>
      <c r="L25" s="320"/>
      <c r="M25" s="320"/>
      <c r="O25" s="233"/>
      <c r="P25" s="320"/>
      <c r="Q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row>
    <row r="26" spans="3:48" ht="11.25">
      <c r="C26" s="223" t="s">
        <v>554</v>
      </c>
      <c r="E26" s="223" t="s">
        <v>341</v>
      </c>
      <c r="G26" s="223" t="s">
        <v>554</v>
      </c>
      <c r="I26" s="223" t="s">
        <v>341</v>
      </c>
      <c r="J26" s="319"/>
      <c r="K26" s="223" t="s">
        <v>554</v>
      </c>
      <c r="M26" s="223" t="s">
        <v>341</v>
      </c>
      <c r="O26" s="233"/>
      <c r="P26" s="320"/>
      <c r="Q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row>
    <row r="27" spans="3:48" ht="11.25">
      <c r="C27" s="329" t="s">
        <v>179</v>
      </c>
      <c r="E27" s="321" t="s">
        <v>357</v>
      </c>
      <c r="G27" s="329" t="s">
        <v>180</v>
      </c>
      <c r="I27" s="321" t="s">
        <v>357</v>
      </c>
      <c r="J27" s="322"/>
      <c r="K27" s="329" t="s">
        <v>181</v>
      </c>
      <c r="M27" s="321" t="s">
        <v>357</v>
      </c>
      <c r="O27" s="233"/>
      <c r="P27" s="320"/>
      <c r="Q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0"/>
      <c r="AU27" s="320"/>
      <c r="AV27" s="320"/>
    </row>
    <row r="28" spans="5:48" ht="11.25">
      <c r="E28" s="320"/>
      <c r="I28" s="320"/>
      <c r="K28" s="320"/>
      <c r="L28" s="320"/>
      <c r="M28" s="320"/>
      <c r="O28" s="233"/>
      <c r="P28" s="320"/>
      <c r="Q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row>
    <row r="29" spans="1:48" ht="11.25">
      <c r="A29" s="220" t="s">
        <v>162</v>
      </c>
      <c r="E29" s="320"/>
      <c r="I29" s="320"/>
      <c r="K29" s="320"/>
      <c r="L29" s="320"/>
      <c r="M29" s="320"/>
      <c r="O29" s="233"/>
      <c r="P29" s="320"/>
      <c r="Q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row>
    <row r="30" spans="1:48" ht="11.25">
      <c r="A30" s="217" t="s">
        <v>163</v>
      </c>
      <c r="C30" s="233">
        <v>4062</v>
      </c>
      <c r="E30" s="328">
        <f>+C30/$C$32</f>
        <v>0.32684261345349214</v>
      </c>
      <c r="G30" s="233">
        <v>3907.369878609363</v>
      </c>
      <c r="I30" s="328">
        <v>0.32163555671355704</v>
      </c>
      <c r="K30" s="219">
        <v>2694.504775114532</v>
      </c>
      <c r="L30" s="320"/>
      <c r="M30" s="328">
        <f>K30/K32</f>
        <v>0.2632184203814608</v>
      </c>
      <c r="O30" s="233"/>
      <c r="P30" s="320"/>
      <c r="Q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row>
    <row r="31" spans="1:48" ht="11.25">
      <c r="A31" s="217" t="s">
        <v>164</v>
      </c>
      <c r="C31" s="233">
        <v>8366</v>
      </c>
      <c r="E31" s="328">
        <f>+C31/$C$32</f>
        <v>0.6731573865465079</v>
      </c>
      <c r="G31" s="233">
        <v>8241.068927518025</v>
      </c>
      <c r="I31" s="328">
        <v>0.678364443286443</v>
      </c>
      <c r="K31" s="219">
        <v>7542.258940774378</v>
      </c>
      <c r="L31" s="320"/>
      <c r="M31" s="328">
        <f>K31/K32</f>
        <v>0.7367815796185392</v>
      </c>
      <c r="O31" s="233"/>
      <c r="P31" s="320"/>
      <c r="Q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row>
    <row r="32" spans="1:48" ht="12" thickBot="1">
      <c r="A32" s="220"/>
      <c r="C32" s="231">
        <f>SUM(C30:C31)</f>
        <v>12428</v>
      </c>
      <c r="E32" s="235">
        <f>SUM(E30:E31)</f>
        <v>1</v>
      </c>
      <c r="G32" s="231">
        <v>12148.438806127388</v>
      </c>
      <c r="I32" s="235">
        <v>1</v>
      </c>
      <c r="K32" s="231">
        <f>SUM(K30:K31)</f>
        <v>10236.76371588891</v>
      </c>
      <c r="L32" s="320"/>
      <c r="M32" s="235">
        <f>SUM(M30:M31)</f>
        <v>1</v>
      </c>
      <c r="O32" s="233"/>
      <c r="P32" s="320"/>
      <c r="Q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row>
    <row r="33" spans="5:48" ht="12" thickTop="1">
      <c r="E33" s="320"/>
      <c r="I33" s="320"/>
      <c r="K33" s="320"/>
      <c r="L33" s="320"/>
      <c r="M33" s="320"/>
      <c r="O33" s="233"/>
      <c r="P33" s="320"/>
      <c r="Q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row>
    <row r="34" spans="5:48" ht="11.25">
      <c r="E34" s="320"/>
      <c r="I34" s="320"/>
      <c r="K34" s="320"/>
      <c r="L34" s="320"/>
      <c r="M34" s="320"/>
      <c r="O34" s="233"/>
      <c r="P34" s="320"/>
      <c r="Q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row>
    <row r="35" spans="5:48" ht="11.25">
      <c r="E35" s="320"/>
      <c r="I35" s="320"/>
      <c r="K35" s="320"/>
      <c r="L35" s="320"/>
      <c r="M35" s="320"/>
      <c r="O35" s="320"/>
      <c r="P35" s="320"/>
      <c r="Q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row>
    <row r="36" spans="5:48" ht="11.25">
      <c r="E36" s="320"/>
      <c r="I36" s="320"/>
      <c r="K36" s="320"/>
      <c r="L36" s="320"/>
      <c r="M36" s="320"/>
      <c r="O36" s="320"/>
      <c r="P36" s="320"/>
      <c r="Q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row>
    <row r="37" spans="5:48" ht="11.25">
      <c r="E37" s="320"/>
      <c r="I37" s="320"/>
      <c r="K37" s="320"/>
      <c r="L37" s="320"/>
      <c r="M37" s="320"/>
      <c r="O37" s="320"/>
      <c r="P37" s="320"/>
      <c r="Q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row>
  </sheetData>
  <printOptions horizontalCentered="1" verticalCentered="1"/>
  <pageMargins left="0.75" right="0.75" top="1" bottom="1.71" header="0.5" footer="0.5"/>
  <pageSetup horizontalDpi="300" verticalDpi="300" orientation="landscape" scale="70" r:id="rId2"/>
  <headerFooter alignWithMargins="0">
    <oddHeader>&amp;L&amp;G&amp;C&amp;"Optima,Bold"&amp;18CDO PORTFOLIO &amp;10
&amp;"Optima,Regular"&amp;12(U.S. dollars in millions)
(Unaudited)</oddHeader>
    <oddFooter>&amp;C&amp;"Optima,Regular"35</oddFooter>
  </headerFooter>
  <legacyDrawingHF r:id="rId1"/>
</worksheet>
</file>

<file path=xl/worksheets/sheet44.xml><?xml version="1.0" encoding="utf-8"?>
<worksheet xmlns="http://schemas.openxmlformats.org/spreadsheetml/2006/main" xmlns:r="http://schemas.openxmlformats.org/officeDocument/2006/relationships">
  <sheetPr codeName="Sheet32"/>
  <dimension ref="A5:M14"/>
  <sheetViews>
    <sheetView workbookViewId="0" topLeftCell="A1">
      <selection activeCell="D10" sqref="D10"/>
    </sheetView>
  </sheetViews>
  <sheetFormatPr defaultColWidth="9.140625" defaultRowHeight="12.75"/>
  <cols>
    <col min="1" max="3" width="9.140625" style="1" customWidth="1"/>
    <col min="4" max="4" width="9.421875" style="1" customWidth="1"/>
    <col min="5" max="5" width="6.421875" style="1" customWidth="1"/>
    <col min="6" max="16384" width="9.140625" style="1" customWidth="1"/>
  </cols>
  <sheetData>
    <row r="5" spans="1:13" ht="13.5">
      <c r="A5" s="14"/>
      <c r="B5" s="14"/>
      <c r="C5" s="14"/>
      <c r="D5" s="14"/>
      <c r="E5" s="14"/>
      <c r="F5" s="14"/>
      <c r="G5" s="14"/>
      <c r="H5" s="14"/>
      <c r="I5" s="14"/>
      <c r="J5" s="14"/>
      <c r="K5" s="14"/>
      <c r="L5" s="14"/>
      <c r="M5" s="14"/>
    </row>
    <row r="6" spans="1:13" ht="13.5">
      <c r="A6" s="14"/>
      <c r="B6" s="14"/>
      <c r="C6" s="14"/>
      <c r="D6" s="14"/>
      <c r="E6" s="14"/>
      <c r="F6" s="14"/>
      <c r="G6" s="14"/>
      <c r="H6" s="14"/>
      <c r="I6" s="14"/>
      <c r="J6" s="14"/>
      <c r="K6" s="14"/>
      <c r="L6" s="14"/>
      <c r="M6" s="14"/>
    </row>
    <row r="7" spans="1:13" ht="13.5">
      <c r="A7" s="14"/>
      <c r="B7" s="14"/>
      <c r="C7" s="14"/>
      <c r="D7" s="14"/>
      <c r="E7" s="14"/>
      <c r="F7" s="14"/>
      <c r="G7" s="14"/>
      <c r="H7" s="14"/>
      <c r="I7" s="14"/>
      <c r="J7" s="14"/>
      <c r="K7" s="14"/>
      <c r="L7" s="14"/>
      <c r="M7" s="14"/>
    </row>
    <row r="14" ht="33.75">
      <c r="F14" s="65" t="s">
        <v>309</v>
      </c>
    </row>
  </sheetData>
  <printOptions horizontalCentered="1" verticalCentered="1"/>
  <pageMargins left="0.75" right="3.5" top="1" bottom="3.5" header="0.5" footer="0.5"/>
  <pageSetup horizontalDpi="300" verticalDpi="300" orientation="landscape" scale="70" r:id="rId2"/>
  <headerFooter alignWithMargins="0">
    <oddHeader>&amp;L&amp;G</oddHeader>
    <oddFooter>&amp;C&amp;"Optima,Regular"36</oddFooter>
  </headerFooter>
  <legacyDrawingHF r:id="rId1"/>
</worksheet>
</file>

<file path=xl/worksheets/sheet45.xml><?xml version="1.0" encoding="utf-8"?>
<worksheet xmlns="http://schemas.openxmlformats.org/spreadsheetml/2006/main" xmlns:r="http://schemas.openxmlformats.org/officeDocument/2006/relationships">
  <sheetPr codeName="Sheet33"/>
  <dimension ref="B2:K37"/>
  <sheetViews>
    <sheetView workbookViewId="0" topLeftCell="A1">
      <selection activeCell="B5" sqref="B5"/>
    </sheetView>
  </sheetViews>
  <sheetFormatPr defaultColWidth="9.140625" defaultRowHeight="12.75"/>
  <cols>
    <col min="1" max="1" width="5.421875" style="1" customWidth="1"/>
    <col min="2" max="2" width="31.140625" style="1" customWidth="1"/>
    <col min="3" max="5" width="12.7109375" style="1" customWidth="1"/>
    <col min="6" max="6" width="12.421875" style="1" customWidth="1"/>
    <col min="7" max="7" width="4.421875" style="1" customWidth="1"/>
    <col min="8" max="10" width="12.7109375" style="1" hidden="1" customWidth="1"/>
    <col min="11" max="11" width="14.421875" style="1" hidden="1" customWidth="1"/>
    <col min="12" max="16384" width="9.140625" style="1" customWidth="1"/>
  </cols>
  <sheetData>
    <row r="2" spans="3:11" ht="17.25">
      <c r="C2" s="349" t="s">
        <v>499</v>
      </c>
      <c r="D2" s="349"/>
      <c r="E2" s="349"/>
      <c r="F2" s="317"/>
      <c r="G2" s="317"/>
      <c r="H2" s="317"/>
      <c r="I2" s="317"/>
      <c r="J2" s="317"/>
      <c r="K2" s="317"/>
    </row>
    <row r="3" spans="3:11" ht="17.25">
      <c r="C3" s="310"/>
      <c r="D3" s="310"/>
      <c r="E3" s="310"/>
      <c r="F3" s="310"/>
      <c r="G3" s="317"/>
      <c r="H3" s="317"/>
      <c r="I3" s="317"/>
      <c r="J3" s="317"/>
      <c r="K3" s="317"/>
    </row>
    <row r="4" spans="2:11" ht="15.75">
      <c r="B4" s="12"/>
      <c r="C4" s="12"/>
      <c r="D4" s="12"/>
      <c r="E4" s="12"/>
      <c r="F4" s="12"/>
      <c r="G4" s="12"/>
      <c r="H4" s="12"/>
      <c r="I4" s="12"/>
      <c r="J4" s="12"/>
      <c r="K4" s="12"/>
    </row>
    <row r="5" spans="2:10" ht="13.5">
      <c r="B5" s="152" t="s">
        <v>67</v>
      </c>
      <c r="C5" s="347" t="s">
        <v>326</v>
      </c>
      <c r="D5" s="347"/>
      <c r="E5" s="347"/>
      <c r="F5" s="150"/>
      <c r="G5" s="150"/>
      <c r="H5" s="347" t="s">
        <v>552</v>
      </c>
      <c r="I5" s="347"/>
      <c r="J5" s="347"/>
    </row>
    <row r="6" spans="2:11" ht="13.5">
      <c r="B6" s="57"/>
      <c r="C6" s="346" t="s">
        <v>146</v>
      </c>
      <c r="D6" s="346"/>
      <c r="E6" s="346"/>
      <c r="F6" s="57"/>
      <c r="G6" s="150"/>
      <c r="H6" s="346" t="s">
        <v>545</v>
      </c>
      <c r="I6" s="346"/>
      <c r="J6" s="346"/>
      <c r="K6" s="94"/>
    </row>
    <row r="7" spans="2:11" ht="13.5">
      <c r="B7" s="57"/>
      <c r="C7" s="150"/>
      <c r="D7" s="150"/>
      <c r="E7" s="150"/>
      <c r="F7" s="57"/>
      <c r="G7" s="150"/>
      <c r="H7" s="150"/>
      <c r="I7" s="150"/>
      <c r="J7" s="150"/>
      <c r="K7" s="36"/>
    </row>
    <row r="8" spans="2:11" ht="13.5">
      <c r="B8" s="57"/>
      <c r="C8" s="150" t="s">
        <v>327</v>
      </c>
      <c r="D8" s="150" t="s">
        <v>328</v>
      </c>
      <c r="E8" s="150" t="s">
        <v>329</v>
      </c>
      <c r="F8" s="151" t="s">
        <v>332</v>
      </c>
      <c r="G8" s="152"/>
      <c r="H8" s="150" t="s">
        <v>327</v>
      </c>
      <c r="I8" s="150" t="s">
        <v>328</v>
      </c>
      <c r="J8" s="150" t="s">
        <v>329</v>
      </c>
      <c r="K8" s="94" t="s">
        <v>332</v>
      </c>
    </row>
    <row r="9" spans="2:11" ht="13.5">
      <c r="B9" s="57"/>
      <c r="C9" s="150"/>
      <c r="D9" s="150"/>
      <c r="E9" s="150"/>
      <c r="F9" s="153" t="s">
        <v>333</v>
      </c>
      <c r="G9" s="152"/>
      <c r="H9" s="150"/>
      <c r="I9" s="150"/>
      <c r="J9" s="150"/>
      <c r="K9" s="36" t="s">
        <v>333</v>
      </c>
    </row>
    <row r="10" spans="2:10" ht="13.5">
      <c r="B10" s="57"/>
      <c r="C10" s="57"/>
      <c r="D10" s="57"/>
      <c r="E10" s="57"/>
      <c r="F10" s="57"/>
      <c r="G10" s="57"/>
      <c r="H10" s="57"/>
      <c r="I10" s="57"/>
      <c r="J10" s="57"/>
    </row>
    <row r="11" spans="2:11" ht="13.5">
      <c r="B11" s="57" t="s">
        <v>330</v>
      </c>
      <c r="C11" s="154">
        <v>1005.6</v>
      </c>
      <c r="D11" s="154">
        <v>-329</v>
      </c>
      <c r="E11" s="154">
        <f>+C11+D11</f>
        <v>676.6</v>
      </c>
      <c r="F11" s="155">
        <f>+E11/E13</f>
        <v>0.7646061701887219</v>
      </c>
      <c r="G11" s="154"/>
      <c r="H11" s="154"/>
      <c r="I11" s="154"/>
      <c r="J11" s="154">
        <f>+H11+I11</f>
        <v>0</v>
      </c>
      <c r="K11" s="140" t="e">
        <f>+J11/J13</f>
        <v>#DIV/0!</v>
      </c>
    </row>
    <row r="12" spans="2:10" ht="13.5">
      <c r="B12" s="57" t="s">
        <v>331</v>
      </c>
      <c r="C12" s="156">
        <f>-29+128.7-26.4</f>
        <v>73.29999999999998</v>
      </c>
      <c r="D12" s="156">
        <v>135</v>
      </c>
      <c r="E12" s="156">
        <f>+C12+D12</f>
        <v>208.29999999999998</v>
      </c>
      <c r="F12" s="156"/>
      <c r="G12" s="156"/>
      <c r="H12" s="156"/>
      <c r="I12" s="156"/>
      <c r="J12" s="156">
        <f>+H12+I12</f>
        <v>0</v>
      </c>
    </row>
    <row r="13" spans="2:10" ht="13.5">
      <c r="B13" s="57" t="s">
        <v>441</v>
      </c>
      <c r="C13" s="157">
        <f>SUM(C11:C12)</f>
        <v>1078.9</v>
      </c>
      <c r="D13" s="157">
        <f>SUM(D11:D12)</f>
        <v>-194</v>
      </c>
      <c r="E13" s="157">
        <f>SUM(E11:E12)</f>
        <v>884.9</v>
      </c>
      <c r="F13" s="158"/>
      <c r="G13" s="156"/>
      <c r="H13" s="157">
        <f>SUM(H11:H12)</f>
        <v>0</v>
      </c>
      <c r="I13" s="157">
        <f>SUM(I11:I12)</f>
        <v>0</v>
      </c>
      <c r="J13" s="157">
        <f>SUM(J11:J12)</f>
        <v>0</v>
      </c>
    </row>
    <row r="14" spans="2:10" ht="13.5">
      <c r="B14" s="57"/>
      <c r="C14" s="158"/>
      <c r="D14" s="158"/>
      <c r="E14" s="158"/>
      <c r="F14" s="158"/>
      <c r="G14" s="156"/>
      <c r="H14" s="158"/>
      <c r="I14" s="158"/>
      <c r="J14" s="158"/>
    </row>
    <row r="15" spans="2:10" ht="13.5">
      <c r="B15" s="57"/>
      <c r="C15" s="158"/>
      <c r="D15" s="158"/>
      <c r="E15" s="158"/>
      <c r="F15" s="158"/>
      <c r="G15" s="156"/>
      <c r="H15" s="158"/>
      <c r="I15" s="158"/>
      <c r="J15" s="158"/>
    </row>
    <row r="16" spans="2:10" ht="13.5">
      <c r="B16" s="57"/>
      <c r="C16" s="158"/>
      <c r="D16" s="158"/>
      <c r="E16" s="158"/>
      <c r="F16" s="158"/>
      <c r="G16" s="156"/>
      <c r="H16" s="158"/>
      <c r="I16" s="158"/>
      <c r="J16" s="158"/>
    </row>
    <row r="17" spans="2:10" ht="13.5">
      <c r="B17" s="57"/>
      <c r="C17" s="347" t="s">
        <v>326</v>
      </c>
      <c r="D17" s="347"/>
      <c r="E17" s="347"/>
      <c r="F17" s="150"/>
      <c r="G17" s="156"/>
      <c r="H17" s="158"/>
      <c r="I17" s="158"/>
      <c r="J17" s="158"/>
    </row>
    <row r="18" spans="2:10" ht="13.5">
      <c r="B18" s="57"/>
      <c r="C18" s="348" t="s">
        <v>545</v>
      </c>
      <c r="D18" s="346"/>
      <c r="E18" s="346"/>
      <c r="F18" s="57"/>
      <c r="G18" s="156"/>
      <c r="H18" s="158"/>
      <c r="I18" s="158"/>
      <c r="J18" s="158"/>
    </row>
    <row r="19" spans="2:10" ht="13.5">
      <c r="B19" s="57"/>
      <c r="C19" s="150"/>
      <c r="D19" s="150"/>
      <c r="E19" s="150"/>
      <c r="F19" s="57"/>
      <c r="G19" s="156"/>
      <c r="H19" s="158"/>
      <c r="I19" s="158"/>
      <c r="J19" s="158"/>
    </row>
    <row r="20" spans="2:10" ht="13.5">
      <c r="B20" s="57"/>
      <c r="C20" s="150" t="s">
        <v>327</v>
      </c>
      <c r="D20" s="150" t="s">
        <v>328</v>
      </c>
      <c r="E20" s="150" t="s">
        <v>329</v>
      </c>
      <c r="F20" s="151" t="s">
        <v>332</v>
      </c>
      <c r="G20" s="156"/>
      <c r="H20" s="158"/>
      <c r="I20" s="158"/>
      <c r="J20" s="158"/>
    </row>
    <row r="21" spans="2:10" ht="13.5">
      <c r="B21" s="57"/>
      <c r="C21" s="150"/>
      <c r="D21" s="150"/>
      <c r="E21" s="150"/>
      <c r="F21" s="153" t="s">
        <v>333</v>
      </c>
      <c r="G21" s="156"/>
      <c r="H21" s="158"/>
      <c r="I21" s="158"/>
      <c r="J21" s="158"/>
    </row>
    <row r="22" spans="2:10" ht="13.5">
      <c r="B22" s="57"/>
      <c r="C22" s="57"/>
      <c r="D22" s="57"/>
      <c r="E22" s="57"/>
      <c r="F22" s="57"/>
      <c r="G22" s="156"/>
      <c r="H22" s="158"/>
      <c r="I22" s="158"/>
      <c r="J22" s="158"/>
    </row>
    <row r="23" spans="2:10" ht="13.5">
      <c r="B23" s="57" t="s">
        <v>330</v>
      </c>
      <c r="C23" s="154">
        <v>866</v>
      </c>
      <c r="D23" s="154">
        <v>-169</v>
      </c>
      <c r="E23" s="154">
        <f>+C23+D23</f>
        <v>697</v>
      </c>
      <c r="F23" s="155">
        <f>+E23/E25</f>
        <v>0.6773566569484937</v>
      </c>
      <c r="G23" s="156"/>
      <c r="H23" s="158"/>
      <c r="I23" s="158"/>
      <c r="J23" s="158"/>
    </row>
    <row r="24" spans="2:10" ht="13.5">
      <c r="B24" s="57" t="s">
        <v>331</v>
      </c>
      <c r="C24" s="156">
        <v>-142</v>
      </c>
      <c r="D24" s="156">
        <v>474</v>
      </c>
      <c r="E24" s="156">
        <f>+C24+D24</f>
        <v>332</v>
      </c>
      <c r="F24" s="156"/>
      <c r="G24" s="156"/>
      <c r="H24" s="158"/>
      <c r="I24" s="158"/>
      <c r="J24" s="158"/>
    </row>
    <row r="25" spans="2:10" ht="13.5">
      <c r="B25" s="57" t="s">
        <v>441</v>
      </c>
      <c r="C25" s="157">
        <f>SUM(C23:C24)</f>
        <v>724</v>
      </c>
      <c r="D25" s="157">
        <f>SUM(D23:D24)</f>
        <v>305</v>
      </c>
      <c r="E25" s="157">
        <f>SUM(E23:E24)</f>
        <v>1029</v>
      </c>
      <c r="F25" s="158"/>
      <c r="G25" s="156"/>
      <c r="H25" s="158"/>
      <c r="I25" s="158"/>
      <c r="J25" s="158"/>
    </row>
    <row r="26" spans="2:10" ht="13.5">
      <c r="B26" s="57"/>
      <c r="C26" s="158"/>
      <c r="D26" s="158"/>
      <c r="E26" s="158"/>
      <c r="F26" s="158"/>
      <c r="G26" s="156"/>
      <c r="H26" s="158"/>
      <c r="I26" s="158"/>
      <c r="J26" s="158"/>
    </row>
    <row r="27" spans="2:10" ht="13.5">
      <c r="B27" s="57"/>
      <c r="C27" s="158"/>
      <c r="D27" s="158"/>
      <c r="E27" s="158"/>
      <c r="F27" s="158"/>
      <c r="G27" s="156"/>
      <c r="H27" s="158"/>
      <c r="I27" s="158"/>
      <c r="J27" s="158"/>
    </row>
    <row r="28" spans="2:10" ht="13.5">
      <c r="B28" s="57"/>
      <c r="C28" s="158"/>
      <c r="D28" s="158"/>
      <c r="E28" s="158"/>
      <c r="F28" s="158"/>
      <c r="G28" s="156"/>
      <c r="H28" s="158"/>
      <c r="I28" s="158"/>
      <c r="J28" s="158"/>
    </row>
    <row r="29" spans="2:11" ht="13.5">
      <c r="B29" s="57"/>
      <c r="C29" s="347" t="s">
        <v>326</v>
      </c>
      <c r="D29" s="347"/>
      <c r="E29" s="347"/>
      <c r="F29" s="156"/>
      <c r="G29" s="156"/>
      <c r="H29" s="347" t="s">
        <v>552</v>
      </c>
      <c r="I29" s="347"/>
      <c r="J29" s="347"/>
      <c r="K29" s="94"/>
    </row>
    <row r="30" spans="2:11" ht="13.5">
      <c r="B30" s="57"/>
      <c r="C30" s="346" t="s">
        <v>35</v>
      </c>
      <c r="D30" s="346"/>
      <c r="E30" s="346"/>
      <c r="F30" s="151"/>
      <c r="G30" s="150"/>
      <c r="H30" s="346" t="s">
        <v>551</v>
      </c>
      <c r="I30" s="346"/>
      <c r="J30" s="346"/>
      <c r="K30" s="36"/>
    </row>
    <row r="31" spans="2:10" ht="13.5">
      <c r="B31" s="57"/>
      <c r="C31" s="156"/>
      <c r="D31" s="156"/>
      <c r="E31" s="156"/>
      <c r="F31" s="153"/>
      <c r="G31" s="156"/>
      <c r="H31" s="156"/>
      <c r="I31" s="156"/>
      <c r="J31" s="156"/>
    </row>
    <row r="32" spans="2:11" ht="13.5">
      <c r="B32" s="57"/>
      <c r="C32" s="150" t="s">
        <v>327</v>
      </c>
      <c r="D32" s="150" t="s">
        <v>328</v>
      </c>
      <c r="E32" s="150" t="s">
        <v>329</v>
      </c>
      <c r="F32" s="151" t="s">
        <v>332</v>
      </c>
      <c r="G32" s="156"/>
      <c r="H32" s="150" t="s">
        <v>327</v>
      </c>
      <c r="I32" s="150" t="s">
        <v>328</v>
      </c>
      <c r="J32" s="150" t="s">
        <v>329</v>
      </c>
      <c r="K32" s="94" t="s">
        <v>332</v>
      </c>
    </row>
    <row r="33" spans="2:11" ht="13.5">
      <c r="B33" s="57"/>
      <c r="C33" s="57"/>
      <c r="D33" s="57"/>
      <c r="E33" s="57"/>
      <c r="F33" s="153" t="s">
        <v>333</v>
      </c>
      <c r="G33" s="156"/>
      <c r="H33" s="57"/>
      <c r="I33" s="57"/>
      <c r="J33" s="57"/>
      <c r="K33" s="36" t="s">
        <v>333</v>
      </c>
    </row>
    <row r="34" spans="2:10" ht="13.5">
      <c r="B34" s="57"/>
      <c r="C34" s="57"/>
      <c r="D34" s="57"/>
      <c r="E34" s="57"/>
      <c r="F34" s="153"/>
      <c r="G34" s="156"/>
      <c r="H34" s="57"/>
      <c r="I34" s="57"/>
      <c r="J34" s="57"/>
    </row>
    <row r="35" spans="2:11" ht="13.5">
      <c r="B35" s="57" t="s">
        <v>330</v>
      </c>
      <c r="C35" s="303">
        <v>988</v>
      </c>
      <c r="D35" s="303">
        <v>-380</v>
      </c>
      <c r="E35" s="303">
        <f>+C35+D35</f>
        <v>608</v>
      </c>
      <c r="F35" s="155">
        <f>+E35/E37</f>
        <v>0.9470404984423676</v>
      </c>
      <c r="G35" s="156"/>
      <c r="H35" s="154"/>
      <c r="I35" s="154"/>
      <c r="J35" s="154">
        <f>+H35+I35</f>
        <v>0</v>
      </c>
      <c r="K35" s="140" t="e">
        <f>+J35/J37</f>
        <v>#DIV/0!</v>
      </c>
    </row>
    <row r="36" spans="2:10" ht="13.5">
      <c r="B36" s="57" t="s">
        <v>331</v>
      </c>
      <c r="C36" s="180">
        <v>24</v>
      </c>
      <c r="D36" s="180">
        <v>10</v>
      </c>
      <c r="E36" s="180">
        <f>+C36+D36</f>
        <v>34</v>
      </c>
      <c r="F36" s="156"/>
      <c r="G36" s="156"/>
      <c r="H36" s="156"/>
      <c r="I36" s="156"/>
      <c r="J36" s="156">
        <f>+H36+I36</f>
        <v>0</v>
      </c>
    </row>
    <row r="37" spans="2:10" ht="13.5">
      <c r="B37" s="57" t="s">
        <v>441</v>
      </c>
      <c r="C37" s="157">
        <f>SUM(C35:C36)</f>
        <v>1012</v>
      </c>
      <c r="D37" s="157">
        <f>SUM(D35:D36)</f>
        <v>-370</v>
      </c>
      <c r="E37" s="157">
        <f>SUM(E35:E36)</f>
        <v>642</v>
      </c>
      <c r="F37" s="158"/>
      <c r="G37" s="57"/>
      <c r="H37" s="157">
        <f>SUM(H35:H36)</f>
        <v>0</v>
      </c>
      <c r="I37" s="157">
        <f>SUM(I35:I36)</f>
        <v>0</v>
      </c>
      <c r="J37" s="157">
        <f>SUM(J35:J36)</f>
        <v>0</v>
      </c>
    </row>
  </sheetData>
  <mergeCells count="11">
    <mergeCell ref="C2:E2"/>
    <mergeCell ref="C30:E30"/>
    <mergeCell ref="H30:J30"/>
    <mergeCell ref="C29:E29"/>
    <mergeCell ref="C5:E5"/>
    <mergeCell ref="H5:J5"/>
    <mergeCell ref="H29:J29"/>
    <mergeCell ref="C6:E6"/>
    <mergeCell ref="H6:J6"/>
    <mergeCell ref="C17:E17"/>
    <mergeCell ref="C18:E18"/>
  </mergeCells>
  <printOptions horizontalCentered="1" verticalCentered="1"/>
  <pageMargins left="0.44" right="1.1" top="1.49" bottom="1.63" header="0.5" footer="0.5"/>
  <pageSetup horizontalDpi="600" verticalDpi="600" orientation="landscape" scale="68" r:id="rId2"/>
  <headerFooter alignWithMargins="0">
    <oddHeader>&amp;L&amp;G&amp;C&amp;"Optima,Bold"&amp;18ANALYSIS OF LOSSES AND LOSS EXPENSES INCURRED
&amp;"Optima,Regular"&amp;12(U.S. dollars in millions)
(Unaudited)</oddHeader>
    <oddFooter>&amp;C&amp;"Optima,Regular"37</oddFooter>
  </headerFooter>
  <legacyDrawingHF r:id="rId1"/>
</worksheet>
</file>

<file path=xl/worksheets/sheet46.xml><?xml version="1.0" encoding="utf-8"?>
<worksheet xmlns="http://schemas.openxmlformats.org/spreadsheetml/2006/main" xmlns:r="http://schemas.openxmlformats.org/officeDocument/2006/relationships">
  <sheetPr codeName="Sheet34"/>
  <dimension ref="A2:I38"/>
  <sheetViews>
    <sheetView workbookViewId="0" topLeftCell="A1">
      <selection activeCell="A15" sqref="A15"/>
    </sheetView>
  </sheetViews>
  <sheetFormatPr defaultColWidth="9.140625" defaultRowHeight="12.75"/>
  <cols>
    <col min="1" max="1" width="41.28125" style="0" customWidth="1"/>
    <col min="2" max="2" width="9.57421875" style="0" bestFit="1" customWidth="1"/>
    <col min="3" max="3" width="12.00390625" style="0" bestFit="1" customWidth="1"/>
    <col min="4" max="4" width="10.7109375" style="0" customWidth="1"/>
    <col min="6" max="6" width="10.140625" style="0" customWidth="1"/>
    <col min="7" max="7" width="12.00390625" style="0" bestFit="1" customWidth="1"/>
    <col min="8" max="8" width="11.00390625" style="0" customWidth="1"/>
  </cols>
  <sheetData>
    <row r="2" spans="2:8" ht="17.25">
      <c r="B2" s="349" t="s">
        <v>499</v>
      </c>
      <c r="C2" s="349"/>
      <c r="D2" s="349"/>
      <c r="E2" s="349"/>
      <c r="F2" s="349"/>
      <c r="G2" s="349"/>
      <c r="H2" s="349"/>
    </row>
    <row r="3" spans="2:8" ht="17.25">
      <c r="B3" s="310"/>
      <c r="C3" s="310"/>
      <c r="D3" s="310"/>
      <c r="E3" s="310"/>
      <c r="F3" s="310"/>
      <c r="G3" s="310"/>
      <c r="H3" s="310"/>
    </row>
    <row r="5" spans="1:9" ht="15">
      <c r="A5" s="1"/>
      <c r="B5" s="339" t="s">
        <v>37</v>
      </c>
      <c r="C5" s="339"/>
      <c r="D5" s="339"/>
      <c r="E5" s="36"/>
      <c r="F5" s="339" t="s">
        <v>44</v>
      </c>
      <c r="G5" s="339"/>
      <c r="H5" s="339"/>
      <c r="I5" s="1"/>
    </row>
    <row r="6" spans="1:9" ht="13.5">
      <c r="A6" s="1"/>
      <c r="B6" s="36"/>
      <c r="C6" s="36"/>
      <c r="D6" s="36"/>
      <c r="E6" s="36"/>
      <c r="F6" s="36"/>
      <c r="G6" s="36"/>
      <c r="H6" s="36"/>
      <c r="I6" s="1"/>
    </row>
    <row r="7" spans="1:9" ht="13.5">
      <c r="A7" s="1"/>
      <c r="B7" s="13" t="s">
        <v>327</v>
      </c>
      <c r="C7" s="13" t="s">
        <v>328</v>
      </c>
      <c r="D7" s="13" t="s">
        <v>329</v>
      </c>
      <c r="E7" s="1"/>
      <c r="F7" s="13" t="s">
        <v>327</v>
      </c>
      <c r="G7" s="13" t="s">
        <v>328</v>
      </c>
      <c r="H7" s="13" t="s">
        <v>329</v>
      </c>
      <c r="I7" s="1"/>
    </row>
    <row r="8" spans="1:9" ht="13.5">
      <c r="A8" s="1"/>
      <c r="B8" s="13"/>
      <c r="C8" s="13"/>
      <c r="D8" s="13"/>
      <c r="E8" s="1"/>
      <c r="F8" s="13"/>
      <c r="G8" s="13"/>
      <c r="H8" s="13"/>
      <c r="I8" s="1"/>
    </row>
    <row r="9" spans="1:9" ht="13.5">
      <c r="A9" s="1" t="s">
        <v>334</v>
      </c>
      <c r="B9" s="184">
        <v>7645</v>
      </c>
      <c r="C9" s="184">
        <v>-1281</v>
      </c>
      <c r="D9" s="184">
        <f>+B9+C9</f>
        <v>6364</v>
      </c>
      <c r="E9" s="1"/>
      <c r="F9" s="141">
        <v>7684</v>
      </c>
      <c r="G9" s="184">
        <f>-2224</f>
        <v>-2224</v>
      </c>
      <c r="H9" s="141">
        <f>+F9+G9</f>
        <v>5460</v>
      </c>
      <c r="I9" s="1"/>
    </row>
    <row r="10" spans="1:9" ht="13.5">
      <c r="A10" s="1" t="s">
        <v>335</v>
      </c>
      <c r="B10" s="171">
        <v>5852</v>
      </c>
      <c r="C10" s="171">
        <v>-3419</v>
      </c>
      <c r="D10" s="171">
        <f>+B10+C10</f>
        <v>2433</v>
      </c>
      <c r="E10" s="1"/>
      <c r="F10" s="18">
        <v>5518</v>
      </c>
      <c r="G10" s="171">
        <f>-2657+74</f>
        <v>-2583</v>
      </c>
      <c r="H10" s="18">
        <f>+F10+G10</f>
        <v>2935</v>
      </c>
      <c r="I10" s="1"/>
    </row>
    <row r="11" spans="1:9" ht="14.25" thickBot="1">
      <c r="A11" s="1" t="s">
        <v>442</v>
      </c>
      <c r="B11" s="29">
        <f>+B9+B10</f>
        <v>13497</v>
      </c>
      <c r="C11" s="29">
        <f>+C9+C10</f>
        <v>-4700</v>
      </c>
      <c r="D11" s="29">
        <f>+D9+D10</f>
        <v>8797</v>
      </c>
      <c r="E11" s="18"/>
      <c r="F11" s="29">
        <f>+F9+F10</f>
        <v>13202</v>
      </c>
      <c r="G11" s="29">
        <f>+G9+G10</f>
        <v>-4807</v>
      </c>
      <c r="H11" s="29">
        <f>+H9+H10</f>
        <v>8395</v>
      </c>
      <c r="I11" s="1"/>
    </row>
    <row r="12" spans="1:9" ht="14.25" thickTop="1">
      <c r="A12" s="1"/>
      <c r="B12" s="149"/>
      <c r="C12" s="149"/>
      <c r="D12" s="149"/>
      <c r="E12" s="18"/>
      <c r="F12" s="17"/>
      <c r="G12" s="17"/>
      <c r="H12" s="17"/>
      <c r="I12" s="1"/>
    </row>
    <row r="13" spans="1:9" ht="13.5">
      <c r="A13" s="1"/>
      <c r="B13" s="149"/>
      <c r="C13" s="149"/>
      <c r="D13" s="149"/>
      <c r="E13" s="18"/>
      <c r="F13" s="17"/>
      <c r="G13" s="17"/>
      <c r="H13" s="17"/>
      <c r="I13" s="1"/>
    </row>
    <row r="14" spans="1:9" ht="13.5">
      <c r="A14" s="1"/>
      <c r="B14" s="149"/>
      <c r="C14" s="149"/>
      <c r="D14" s="149"/>
      <c r="E14" s="18"/>
      <c r="F14" s="17"/>
      <c r="G14" s="17"/>
      <c r="H14" s="17"/>
      <c r="I14" s="1"/>
    </row>
    <row r="15" spans="1:9" ht="13.5">
      <c r="A15" s="152" t="s">
        <v>67</v>
      </c>
      <c r="B15" s="13" t="s">
        <v>327</v>
      </c>
      <c r="C15" s="13" t="s">
        <v>328</v>
      </c>
      <c r="D15" s="13" t="s">
        <v>329</v>
      </c>
      <c r="E15" s="18"/>
      <c r="F15" s="18"/>
      <c r="G15" s="18"/>
      <c r="H15" s="18"/>
      <c r="I15" s="1"/>
    </row>
    <row r="16" spans="1:9" ht="13.5">
      <c r="A16" s="1"/>
      <c r="B16" s="18"/>
      <c r="C16" s="18"/>
      <c r="D16" s="18"/>
      <c r="E16" s="18"/>
      <c r="F16" s="61"/>
      <c r="G16" s="18"/>
      <c r="H16" s="18"/>
      <c r="I16" s="1"/>
    </row>
    <row r="17" spans="1:9" ht="13.5">
      <c r="A17" s="1" t="s">
        <v>553</v>
      </c>
      <c r="B17" s="149">
        <v>13202</v>
      </c>
      <c r="C17" s="149">
        <v>-4807</v>
      </c>
      <c r="D17" s="170">
        <f>+B17+C17</f>
        <v>8395</v>
      </c>
      <c r="E17" s="18"/>
      <c r="F17" s="61"/>
      <c r="G17" s="18"/>
      <c r="H17" s="18"/>
      <c r="I17" s="1"/>
    </row>
    <row r="18" spans="1:9" ht="13.5">
      <c r="A18" s="1" t="s">
        <v>337</v>
      </c>
      <c r="B18" s="18"/>
      <c r="C18" s="18"/>
      <c r="D18" s="18">
        <f>'Inc Stmt Qtr 03'!C20/1000</f>
        <v>885.254</v>
      </c>
      <c r="E18" s="18"/>
      <c r="F18" s="61"/>
      <c r="G18" s="18"/>
      <c r="H18" s="18"/>
      <c r="I18" s="1"/>
    </row>
    <row r="19" spans="1:9" ht="13.5">
      <c r="A19" s="1" t="s">
        <v>338</v>
      </c>
      <c r="B19" s="18"/>
      <c r="C19" s="18"/>
      <c r="D19" s="18">
        <f>-'Losses incurred'!E11</f>
        <v>-676.6</v>
      </c>
      <c r="E19" s="18"/>
      <c r="F19" s="18"/>
      <c r="G19" s="18"/>
      <c r="H19" s="18"/>
      <c r="I19" s="1"/>
    </row>
    <row r="20" spans="1:9" ht="13.5">
      <c r="A20" s="1" t="s">
        <v>472</v>
      </c>
      <c r="B20" s="27"/>
      <c r="C20" s="27"/>
      <c r="D20" s="27">
        <f>D11-D17-D18-D19</f>
        <v>193.346</v>
      </c>
      <c r="E20" s="18"/>
      <c r="F20" s="61"/>
      <c r="G20" s="18"/>
      <c r="H20" s="18"/>
      <c r="I20" s="1"/>
    </row>
    <row r="21" spans="1:9" ht="13.5">
      <c r="A21" s="1"/>
      <c r="B21" s="18"/>
      <c r="C21" s="18"/>
      <c r="D21" s="18"/>
      <c r="E21" s="18"/>
      <c r="F21" s="61"/>
      <c r="G21" s="18"/>
      <c r="H21" s="18"/>
      <c r="I21" s="1"/>
    </row>
    <row r="22" spans="1:9" ht="14.25" thickBot="1">
      <c r="A22" s="1" t="s">
        <v>36</v>
      </c>
      <c r="B22" s="143">
        <f>+B11</f>
        <v>13497</v>
      </c>
      <c r="C22" s="143">
        <f>+C11</f>
        <v>-4700</v>
      </c>
      <c r="D22" s="143">
        <f>SUM(D17:D20)</f>
        <v>8797</v>
      </c>
      <c r="E22" s="18"/>
      <c r="F22" s="18"/>
      <c r="G22" s="18"/>
      <c r="H22" s="18"/>
      <c r="I22" s="1"/>
    </row>
    <row r="23" spans="1:8" ht="13.5" thickTop="1">
      <c r="A23" s="144"/>
      <c r="B23" s="144"/>
      <c r="C23" s="144"/>
      <c r="D23" s="144"/>
      <c r="E23" s="144"/>
      <c r="F23" s="144"/>
      <c r="G23" s="144"/>
      <c r="H23" s="144"/>
    </row>
    <row r="24" spans="1:8" ht="12.75">
      <c r="A24" s="144"/>
      <c r="B24" s="144"/>
      <c r="C24" s="144"/>
      <c r="D24" s="144"/>
      <c r="E24" s="144"/>
      <c r="F24" s="144"/>
      <c r="G24" s="144"/>
      <c r="H24" s="144"/>
    </row>
    <row r="25" spans="1:8" ht="12.75">
      <c r="A25" s="144"/>
      <c r="B25" s="144"/>
      <c r="C25" s="144"/>
      <c r="D25" s="144"/>
      <c r="E25" s="144"/>
      <c r="F25" s="144"/>
      <c r="G25" s="144"/>
      <c r="H25" s="144"/>
    </row>
    <row r="26" spans="1:8" ht="12.75">
      <c r="A26" s="144"/>
      <c r="B26" s="144"/>
      <c r="C26" s="144"/>
      <c r="D26" s="144"/>
      <c r="E26" s="144"/>
      <c r="F26" s="144"/>
      <c r="G26" s="144"/>
      <c r="H26" s="144"/>
    </row>
    <row r="28" spans="2:8" ht="15.75">
      <c r="B28" s="144"/>
      <c r="C28" s="144"/>
      <c r="D28" s="144"/>
      <c r="E28" s="148"/>
      <c r="F28" s="148"/>
      <c r="G28" s="148"/>
      <c r="H28" s="148"/>
    </row>
    <row r="29" spans="2:4" ht="12.75">
      <c r="B29" s="144"/>
      <c r="C29" s="144"/>
      <c r="D29" s="144"/>
    </row>
    <row r="30" spans="2:8" ht="15">
      <c r="B30" s="144"/>
      <c r="C30" s="144"/>
      <c r="D30" s="144"/>
      <c r="E30" s="36"/>
      <c r="F30" s="350"/>
      <c r="G30" s="350"/>
      <c r="H30" s="350"/>
    </row>
    <row r="31" spans="2:8" ht="13.5">
      <c r="B31" s="144"/>
      <c r="C31" s="144"/>
      <c r="D31" s="144"/>
      <c r="E31" s="36"/>
      <c r="F31" s="146"/>
      <c r="G31" s="146"/>
      <c r="H31" s="146"/>
    </row>
    <row r="32" spans="2:8" ht="13.5">
      <c r="B32" s="144"/>
      <c r="C32" s="144"/>
      <c r="D32" s="144"/>
      <c r="E32" s="1"/>
      <c r="F32" s="147"/>
      <c r="G32" s="147"/>
      <c r="H32" s="147"/>
    </row>
    <row r="33" spans="2:8" ht="13.5">
      <c r="B33" s="144"/>
      <c r="C33" s="144"/>
      <c r="D33" s="144"/>
      <c r="E33" s="1"/>
      <c r="F33" s="147"/>
      <c r="G33" s="147"/>
      <c r="H33" s="147"/>
    </row>
    <row r="34" spans="2:8" ht="13.5">
      <c r="B34" s="144"/>
      <c r="C34" s="144"/>
      <c r="D34" s="144"/>
      <c r="E34" s="1"/>
      <c r="F34" s="142"/>
      <c r="G34" s="142"/>
      <c r="H34" s="142"/>
    </row>
    <row r="35" spans="2:8" ht="13.5">
      <c r="B35" s="144"/>
      <c r="C35" s="144"/>
      <c r="D35" s="144"/>
      <c r="E35" s="1"/>
      <c r="F35" s="89"/>
      <c r="G35" s="89"/>
      <c r="H35" s="89"/>
    </row>
    <row r="36" spans="2:8" ht="13.5">
      <c r="B36" s="144"/>
      <c r="C36" s="144"/>
      <c r="D36" s="144"/>
      <c r="E36" s="18"/>
      <c r="F36" s="17"/>
      <c r="G36" s="17"/>
      <c r="H36" s="17"/>
    </row>
    <row r="37" spans="2:8" ht="13.5">
      <c r="B37" s="17"/>
      <c r="C37" s="17"/>
      <c r="D37" s="17"/>
      <c r="E37" s="18"/>
      <c r="F37" s="17"/>
      <c r="G37" s="17"/>
      <c r="H37" s="17"/>
    </row>
    <row r="38" spans="1:8" ht="13.5">
      <c r="A38" s="1"/>
      <c r="B38" s="17"/>
      <c r="C38" s="17"/>
      <c r="D38" s="17"/>
      <c r="E38" s="18"/>
      <c r="F38" s="17"/>
      <c r="G38" s="17"/>
      <c r="H38" s="17"/>
    </row>
  </sheetData>
  <mergeCells count="4">
    <mergeCell ref="B2:H2"/>
    <mergeCell ref="F30:H30"/>
    <mergeCell ref="B5:D5"/>
    <mergeCell ref="F5:H5"/>
  </mergeCells>
  <printOptions/>
  <pageMargins left="2" right="0.75" top="1.67" bottom="1" header="0.5" footer="0.5"/>
  <pageSetup horizontalDpi="300" verticalDpi="300" orientation="landscape" scale="70" r:id="rId2"/>
  <headerFooter alignWithMargins="0">
    <oddHeader>&amp;L&amp;G&amp;C&amp;"Optima,Bold"&amp;18ANALYSIS OF UNPAID LOSSES AND LOSS EXPENSES
&amp;"Optima,Regular"&amp;12(U.S. dollars in millions)
(Unaudited)</oddHeader>
    <oddFooter>&amp;C&amp;"Optima,Regular"38</oddFooter>
  </headerFooter>
  <legacyDrawingHF r:id="rId1"/>
</worksheet>
</file>

<file path=xl/worksheets/sheet47.xml><?xml version="1.0" encoding="utf-8"?>
<worksheet xmlns="http://schemas.openxmlformats.org/spreadsheetml/2006/main" xmlns:r="http://schemas.openxmlformats.org/officeDocument/2006/relationships">
  <sheetPr codeName="Sheet35"/>
  <dimension ref="A1:M23"/>
  <sheetViews>
    <sheetView workbookViewId="0" topLeftCell="A3">
      <selection activeCell="A24" sqref="A24"/>
    </sheetView>
  </sheetViews>
  <sheetFormatPr defaultColWidth="9.140625" defaultRowHeight="12.75"/>
  <cols>
    <col min="1" max="1" width="4.8515625" style="1" customWidth="1"/>
    <col min="2" max="2" width="27.7109375" style="1" customWidth="1"/>
    <col min="3" max="3" width="7.7109375" style="1" customWidth="1"/>
    <col min="4" max="4" width="15.7109375" style="1" customWidth="1"/>
    <col min="5" max="5" width="5.7109375" style="1" customWidth="1"/>
    <col min="6" max="6" width="15.7109375" style="1" customWidth="1"/>
    <col min="7" max="7" width="5.7109375" style="1" customWidth="1"/>
    <col min="8" max="8" width="15.7109375" style="1" customWidth="1"/>
    <col min="9" max="16384" width="9.140625" style="1" customWidth="1"/>
  </cols>
  <sheetData>
    <row r="1" spans="4:8" ht="15.75">
      <c r="D1" s="341" t="s">
        <v>38</v>
      </c>
      <c r="E1" s="341"/>
      <c r="F1" s="341"/>
      <c r="G1" s="341"/>
      <c r="H1" s="341"/>
    </row>
    <row r="3" spans="4:8" ht="15">
      <c r="D3" s="95" t="s">
        <v>387</v>
      </c>
      <c r="E3" s="21"/>
      <c r="F3" s="95" t="s">
        <v>388</v>
      </c>
      <c r="G3" s="21"/>
      <c r="H3" s="95" t="s">
        <v>394</v>
      </c>
    </row>
    <row r="5" spans="1:13" ht="15">
      <c r="A5" s="9" t="s">
        <v>539</v>
      </c>
      <c r="I5" s="14"/>
      <c r="J5" s="14"/>
      <c r="K5" s="14"/>
      <c r="L5" s="14"/>
      <c r="M5" s="14"/>
    </row>
    <row r="6" spans="2:13" ht="13.5">
      <c r="B6" s="1" t="s">
        <v>452</v>
      </c>
      <c r="D6" s="26">
        <v>709055</v>
      </c>
      <c r="F6" s="26">
        <v>1434850</v>
      </c>
      <c r="H6" s="26">
        <f>SUM(D6:F6)</f>
        <v>2143905</v>
      </c>
      <c r="I6" s="14"/>
      <c r="J6" s="14"/>
      <c r="K6" s="14"/>
      <c r="L6" s="14"/>
      <c r="M6" s="14"/>
    </row>
    <row r="7" spans="2:13" ht="13.5">
      <c r="B7" s="1" t="s">
        <v>471</v>
      </c>
      <c r="D7" s="97">
        <v>-318205</v>
      </c>
      <c r="F7" s="97">
        <v>-865700</v>
      </c>
      <c r="H7" s="97">
        <f>SUM(D7:F7)</f>
        <v>-1183905</v>
      </c>
      <c r="I7" s="14"/>
      <c r="J7" s="14"/>
      <c r="K7" s="14"/>
      <c r="L7" s="14"/>
      <c r="M7" s="14"/>
    </row>
    <row r="8" spans="2:8" ht="15.75" thickBot="1">
      <c r="B8" s="1" t="s">
        <v>453</v>
      </c>
      <c r="C8" s="10"/>
      <c r="D8" s="29">
        <f>SUM(D6:D7)</f>
        <v>390850</v>
      </c>
      <c r="F8" s="29">
        <f>SUM(F6:F7)</f>
        <v>569150</v>
      </c>
      <c r="H8" s="29">
        <f>SUM(H6:H7)</f>
        <v>960000</v>
      </c>
    </row>
    <row r="9" ht="14.25" thickTop="1"/>
    <row r="10" ht="15">
      <c r="A10" s="9" t="s">
        <v>540</v>
      </c>
    </row>
    <row r="11" spans="2:8" ht="13.5">
      <c r="B11" s="1" t="s">
        <v>454</v>
      </c>
      <c r="D11" s="26">
        <v>433379</v>
      </c>
      <c r="F11" s="26">
        <v>302758</v>
      </c>
      <c r="H11" s="26">
        <f>SUM(D11:F11)</f>
        <v>736137</v>
      </c>
    </row>
    <row r="12" spans="2:8" ht="13.5">
      <c r="B12" s="1" t="s">
        <v>471</v>
      </c>
      <c r="D12" s="97">
        <v>245759</v>
      </c>
      <c r="F12" s="97">
        <v>211170</v>
      </c>
      <c r="H12" s="97">
        <f>SUM(D12:F12)</f>
        <v>456929</v>
      </c>
    </row>
    <row r="13" spans="2:8" ht="14.25" thickBot="1">
      <c r="B13" s="1" t="s">
        <v>455</v>
      </c>
      <c r="D13" s="29">
        <f>D11-D12</f>
        <v>187620</v>
      </c>
      <c r="F13" s="29">
        <f>F11-F12</f>
        <v>91588</v>
      </c>
      <c r="H13" s="29">
        <f>H11-H12</f>
        <v>279208</v>
      </c>
    </row>
    <row r="14" spans="4:8" ht="14.25" thickTop="1">
      <c r="D14" s="96"/>
      <c r="F14" s="96"/>
      <c r="H14" s="96"/>
    </row>
    <row r="16" spans="2:8" ht="13.5">
      <c r="B16" s="1" t="s">
        <v>456</v>
      </c>
      <c r="D16" s="98">
        <f>D11/D6</f>
        <v>0.611206464942776</v>
      </c>
      <c r="E16" s="98"/>
      <c r="F16" s="98">
        <f>F11/F6</f>
        <v>0.21100324075687354</v>
      </c>
      <c r="G16" s="98"/>
      <c r="H16" s="98">
        <f>H11/H6</f>
        <v>0.34336269564183114</v>
      </c>
    </row>
    <row r="17" spans="2:8" ht="13.5">
      <c r="B17" s="1" t="s">
        <v>457</v>
      </c>
      <c r="D17" s="98">
        <f>D13/D8</f>
        <v>0.4800307023154663</v>
      </c>
      <c r="E17" s="98"/>
      <c r="F17" s="98">
        <f>F13/F8</f>
        <v>0.16092067117631556</v>
      </c>
      <c r="G17" s="98"/>
      <c r="H17" s="98">
        <f>H13/H8</f>
        <v>0.29084166666666667</v>
      </c>
    </row>
    <row r="20" ht="13.5">
      <c r="A20" s="14" t="s">
        <v>315</v>
      </c>
    </row>
    <row r="21" spans="1:8" ht="13.5">
      <c r="A21" s="338" t="s">
        <v>188</v>
      </c>
      <c r="B21" s="338"/>
      <c r="C21" s="338"/>
      <c r="D21" s="338"/>
      <c r="E21" s="338"/>
      <c r="F21" s="338"/>
      <c r="G21" s="338"/>
      <c r="H21" s="338"/>
    </row>
    <row r="22" spans="1:8" ht="13.5">
      <c r="A22" s="338"/>
      <c r="B22" s="338"/>
      <c r="C22" s="338"/>
      <c r="D22" s="338"/>
      <c r="E22" s="338"/>
      <c r="F22" s="338"/>
      <c r="G22" s="338"/>
      <c r="H22" s="338"/>
    </row>
    <row r="23" spans="1:8" ht="28.5" customHeight="1">
      <c r="A23" s="338"/>
      <c r="B23" s="338"/>
      <c r="C23" s="338"/>
      <c r="D23" s="338"/>
      <c r="E23" s="338"/>
      <c r="F23" s="338"/>
      <c r="G23" s="338"/>
      <c r="H23" s="338"/>
    </row>
  </sheetData>
  <mergeCells count="2">
    <mergeCell ref="D1:H1"/>
    <mergeCell ref="A21:H23"/>
  </mergeCells>
  <printOptions horizontalCentered="1" verticalCentered="1"/>
  <pageMargins left="0.75" right="1.05" top="1" bottom="2" header="0.5" footer="0.5"/>
  <pageSetup horizontalDpi="300" verticalDpi="300" orientation="landscape" scale="70" r:id="rId2"/>
  <headerFooter alignWithMargins="0">
    <oddHeader>&amp;L&amp;G&amp;C&amp;"Optima,Bold"&amp;18THE SEPTEMBER 11 EVENT:
ANALYSIS OF PAID TO INCURRED LOSSES
&amp;"Optima,Regular"&amp;12(U.S. dollars in thousands)
(Unaudited)</oddHeader>
    <oddFooter>&amp;C&amp;"Optima,Regular"39</oddFooter>
  </headerFooter>
  <legacyDrawingHF r:id="rId1"/>
</worksheet>
</file>

<file path=xl/worksheets/sheet5.xml><?xml version="1.0" encoding="utf-8"?>
<worksheet xmlns="http://schemas.openxmlformats.org/spreadsheetml/2006/main" xmlns:r="http://schemas.openxmlformats.org/officeDocument/2006/relationships">
  <sheetPr codeName="Sheet31"/>
  <dimension ref="A1:B28"/>
  <sheetViews>
    <sheetView workbookViewId="0" topLeftCell="A1">
      <selection activeCell="B10" sqref="B10"/>
    </sheetView>
  </sheetViews>
  <sheetFormatPr defaultColWidth="9.140625" defaultRowHeight="12.75"/>
  <cols>
    <col min="1" max="1" width="5.8515625" style="1" customWidth="1"/>
    <col min="2" max="2" width="126.421875" style="1" customWidth="1"/>
    <col min="3" max="16384" width="9.140625" style="1" customWidth="1"/>
  </cols>
  <sheetData>
    <row r="1" spans="1:2" ht="15.75">
      <c r="A1" s="7"/>
      <c r="B1" s="7"/>
    </row>
    <row r="2" spans="1:2" ht="15.75">
      <c r="A2" s="7" t="s">
        <v>183</v>
      </c>
      <c r="B2" s="7"/>
    </row>
    <row r="3" spans="1:2" ht="15.75">
      <c r="A3" s="7"/>
      <c r="B3" s="7"/>
    </row>
    <row r="4" ht="15.75">
      <c r="A4" s="5" t="s">
        <v>147</v>
      </c>
    </row>
    <row r="5" spans="1:2" ht="15.75">
      <c r="A5" s="7"/>
      <c r="B5" s="186" t="s">
        <v>74</v>
      </c>
    </row>
    <row r="6" spans="1:2" ht="30" customHeight="1">
      <c r="A6" s="7"/>
      <c r="B6" s="285" t="s">
        <v>170</v>
      </c>
    </row>
    <row r="7" spans="1:2" s="281" customFormat="1" ht="30">
      <c r="A7" s="305"/>
      <c r="B7" s="306" t="s">
        <v>171</v>
      </c>
    </row>
    <row r="8" spans="1:2" ht="15.75">
      <c r="A8" s="7"/>
      <c r="B8" s="304" t="s">
        <v>75</v>
      </c>
    </row>
    <row r="9" spans="1:2" ht="30">
      <c r="A9" s="7"/>
      <c r="B9" s="306" t="s">
        <v>184</v>
      </c>
    </row>
    <row r="10" spans="1:2" ht="15.75">
      <c r="A10" s="7"/>
      <c r="B10" s="286"/>
    </row>
    <row r="11" ht="15.75">
      <c r="A11" s="5" t="s">
        <v>248</v>
      </c>
    </row>
    <row r="12" spans="1:2" ht="15.75">
      <c r="A12" s="7"/>
      <c r="B12" s="186" t="s">
        <v>74</v>
      </c>
    </row>
    <row r="13" spans="1:2" ht="30">
      <c r="A13" s="7"/>
      <c r="B13" s="285" t="s">
        <v>148</v>
      </c>
    </row>
    <row r="14" spans="1:2" ht="15.75">
      <c r="A14" s="7"/>
      <c r="B14" s="304" t="s">
        <v>75</v>
      </c>
    </row>
    <row r="15" spans="1:2" ht="15.75">
      <c r="A15" s="7"/>
      <c r="B15" s="285" t="s">
        <v>172</v>
      </c>
    </row>
    <row r="16" spans="1:2" ht="15.75">
      <c r="A16" s="7"/>
      <c r="B16" s="285"/>
    </row>
    <row r="17" ht="15.75">
      <c r="A17" s="5" t="s">
        <v>249</v>
      </c>
    </row>
    <row r="18" spans="1:2" ht="30">
      <c r="A18" s="7"/>
      <c r="B18" s="285" t="s">
        <v>149</v>
      </c>
    </row>
    <row r="19" spans="1:2" ht="15.75">
      <c r="A19" s="7"/>
      <c r="B19" s="285"/>
    </row>
    <row r="20" ht="15.75">
      <c r="A20" s="5" t="s">
        <v>250</v>
      </c>
    </row>
    <row r="21" spans="1:2" ht="30">
      <c r="A21" s="7"/>
      <c r="B21" s="285" t="s">
        <v>174</v>
      </c>
    </row>
    <row r="22" spans="1:2" ht="15.75">
      <c r="A22" s="7"/>
      <c r="B22" s="286"/>
    </row>
    <row r="23" ht="15.75">
      <c r="A23" s="5" t="s">
        <v>251</v>
      </c>
    </row>
    <row r="24" spans="1:2" ht="15.75" customHeight="1">
      <c r="A24" s="7"/>
      <c r="B24" s="285" t="s">
        <v>225</v>
      </c>
    </row>
    <row r="25" spans="1:2" ht="30">
      <c r="A25" s="7"/>
      <c r="B25" s="285" t="s">
        <v>150</v>
      </c>
    </row>
    <row r="26" spans="1:2" ht="30">
      <c r="A26" s="7"/>
      <c r="B26" s="285" t="s">
        <v>117</v>
      </c>
    </row>
    <row r="27" spans="1:2" ht="15.75">
      <c r="A27" s="7"/>
      <c r="B27" s="285" t="s">
        <v>226</v>
      </c>
    </row>
    <row r="28" spans="1:2" ht="30">
      <c r="A28" s="7"/>
      <c r="B28" s="285" t="s">
        <v>118</v>
      </c>
    </row>
  </sheetData>
  <printOptions/>
  <pageMargins left="1.68" right="0.75" top="1.4" bottom="0.69" header="0.5" footer="0.5"/>
  <pageSetup horizontalDpi="600" verticalDpi="600" orientation="landscape" scale="68" r:id="rId2"/>
  <headerFooter alignWithMargins="0">
    <oddHeader>&amp;L&amp;G&amp;C&amp;"Optima,Bold"&amp;18FINANCIAL HIGHLIGHTS - NARRATIVE
&amp;16FOR THE QUARTER ENDED MARCH 31, 2003&amp;18
&amp;"Optima,Regular"&amp;12(U.S. dollars in millions)
(Unaudited)</oddHeader>
    <oddFooter>&amp;C&amp;"Optima,Regular"4</oddFooter>
  </headerFooter>
  <legacyDrawingHF r:id="rId1"/>
</worksheet>
</file>

<file path=xl/worksheets/sheet6.xml><?xml version="1.0" encoding="utf-8"?>
<worksheet xmlns="http://schemas.openxmlformats.org/spreadsheetml/2006/main" xmlns:r="http://schemas.openxmlformats.org/officeDocument/2006/relationships">
  <sheetPr codeName="Sheet43"/>
  <dimension ref="A1:B28"/>
  <sheetViews>
    <sheetView workbookViewId="0" topLeftCell="A1">
      <selection activeCell="B3" sqref="B3"/>
    </sheetView>
  </sheetViews>
  <sheetFormatPr defaultColWidth="9.140625" defaultRowHeight="12.75"/>
  <cols>
    <col min="1" max="1" width="4.28125" style="1" customWidth="1"/>
    <col min="2" max="2" width="118.140625" style="1" customWidth="1"/>
    <col min="3" max="16384" width="9.140625" style="1" customWidth="1"/>
  </cols>
  <sheetData>
    <row r="1" spans="1:2" ht="15.75">
      <c r="A1" s="7"/>
      <c r="B1" s="7"/>
    </row>
    <row r="2" ht="15.75">
      <c r="A2" s="5" t="s">
        <v>169</v>
      </c>
    </row>
    <row r="3" ht="30.75" customHeight="1">
      <c r="B3" s="285" t="s">
        <v>175</v>
      </c>
    </row>
    <row r="4" ht="30">
      <c r="B4" s="285" t="s">
        <v>176</v>
      </c>
    </row>
    <row r="5" spans="1:2" ht="15.75">
      <c r="A5" s="7"/>
      <c r="B5" s="7"/>
    </row>
    <row r="6" ht="15.75">
      <c r="A6" s="5" t="s">
        <v>241</v>
      </c>
    </row>
    <row r="7" spans="1:2" ht="30">
      <c r="A7" s="7"/>
      <c r="B7" s="285" t="s">
        <v>151</v>
      </c>
    </row>
    <row r="8" spans="1:2" ht="15.75">
      <c r="A8" s="7"/>
      <c r="B8" s="285"/>
    </row>
    <row r="9" ht="15.75">
      <c r="A9" s="5" t="s">
        <v>242</v>
      </c>
    </row>
    <row r="10" spans="1:2" ht="30">
      <c r="A10" s="7"/>
      <c r="B10" s="285" t="s">
        <v>119</v>
      </c>
    </row>
    <row r="11" spans="1:2" ht="30">
      <c r="A11" s="7"/>
      <c r="B11" s="285" t="s">
        <v>152</v>
      </c>
    </row>
    <row r="12" spans="1:2" ht="15.75">
      <c r="A12" s="7"/>
      <c r="B12" s="286"/>
    </row>
    <row r="13" ht="15.75">
      <c r="A13" s="5" t="s">
        <v>243</v>
      </c>
    </row>
    <row r="14" spans="1:2" ht="30">
      <c r="A14" s="7"/>
      <c r="B14" s="285" t="s">
        <v>227</v>
      </c>
    </row>
    <row r="15" spans="1:2" ht="30">
      <c r="A15" s="7"/>
      <c r="B15" s="285" t="s">
        <v>228</v>
      </c>
    </row>
    <row r="16" spans="1:2" ht="15.75">
      <c r="A16" s="7"/>
      <c r="B16" s="5"/>
    </row>
    <row r="17" ht="15.75">
      <c r="A17" s="5" t="s">
        <v>244</v>
      </c>
    </row>
    <row r="18" spans="1:2" ht="30">
      <c r="A18" s="7"/>
      <c r="B18" s="285" t="s">
        <v>120</v>
      </c>
    </row>
    <row r="19" spans="1:2" ht="15.75">
      <c r="A19" s="7"/>
      <c r="B19" s="7"/>
    </row>
    <row r="20" ht="15.75">
      <c r="A20" s="5" t="s">
        <v>245</v>
      </c>
    </row>
    <row r="21" spans="1:2" ht="30">
      <c r="A21" s="7"/>
      <c r="B21" s="285" t="s">
        <v>229</v>
      </c>
    </row>
    <row r="22" spans="1:2" ht="15.75">
      <c r="A22" s="7"/>
      <c r="B22" s="285" t="s">
        <v>230</v>
      </c>
    </row>
    <row r="23" spans="1:2" ht="15.75">
      <c r="A23" s="7"/>
      <c r="B23" s="285"/>
    </row>
    <row r="24" ht="15.75">
      <c r="A24" s="5" t="s">
        <v>246</v>
      </c>
    </row>
    <row r="25" spans="1:2" ht="30">
      <c r="A25" s="7"/>
      <c r="B25" s="285" t="s">
        <v>153</v>
      </c>
    </row>
    <row r="27" ht="15.75">
      <c r="A27" s="5" t="s">
        <v>247</v>
      </c>
    </row>
    <row r="28" ht="15">
      <c r="B28" s="285" t="s">
        <v>231</v>
      </c>
    </row>
  </sheetData>
  <printOptions/>
  <pageMargins left="1.68" right="0.75" top="1.4" bottom="0.75" header="0.5" footer="0.5"/>
  <pageSetup horizontalDpi="600" verticalDpi="600" orientation="landscape" scale="70" r:id="rId2"/>
  <headerFooter alignWithMargins="0">
    <oddHeader>&amp;L&amp;G&amp;C&amp;"Optima,Bold"&amp;18FINANCIAL HIGHLIGHTS - NARRATIVE (CONTINUED)
&amp;16FOR THE QUARTER ENDED MARCH 31, 2003&amp;18
&amp;"Optima,Regular"&amp;12(U.S. dollars in millions)
(Unaudited)</oddHeader>
    <oddFooter>&amp;C&amp;"Optima,Regular"5</oddFooter>
  </headerFooter>
  <legacyDrawingHF r:id="rId1"/>
</worksheet>
</file>

<file path=xl/worksheets/sheet7.xml><?xml version="1.0" encoding="utf-8"?>
<worksheet xmlns="http://schemas.openxmlformats.org/spreadsheetml/2006/main" xmlns:r="http://schemas.openxmlformats.org/officeDocument/2006/relationships">
  <sheetPr codeName="Sheet44"/>
  <dimension ref="A1:B10"/>
  <sheetViews>
    <sheetView workbookViewId="0" topLeftCell="A1">
      <selection activeCell="B2" sqref="B2"/>
    </sheetView>
  </sheetViews>
  <sheetFormatPr defaultColWidth="9.140625" defaultRowHeight="12.75"/>
  <cols>
    <col min="1" max="1" width="4.28125" style="1" customWidth="1"/>
    <col min="2" max="2" width="118.8515625" style="1" customWidth="1"/>
    <col min="3" max="16384" width="9.140625" style="1" customWidth="1"/>
  </cols>
  <sheetData>
    <row r="1" spans="1:2" ht="15.75">
      <c r="A1" s="7"/>
      <c r="B1" s="7"/>
    </row>
    <row r="2" spans="1:2" ht="15.75">
      <c r="A2" s="7"/>
      <c r="B2" s="7"/>
    </row>
    <row r="3" ht="15.75">
      <c r="A3" s="5" t="s">
        <v>252</v>
      </c>
    </row>
    <row r="4" ht="15">
      <c r="B4" s="318" t="s">
        <v>154</v>
      </c>
    </row>
    <row r="6" ht="15.75">
      <c r="A6" s="5" t="s">
        <v>253</v>
      </c>
    </row>
    <row r="7" ht="30">
      <c r="B7" s="285" t="s">
        <v>155</v>
      </c>
    </row>
    <row r="9" ht="15.75">
      <c r="A9" s="5" t="s">
        <v>254</v>
      </c>
    </row>
    <row r="10" ht="15">
      <c r="B10" s="285" t="s">
        <v>232</v>
      </c>
    </row>
  </sheetData>
  <printOptions/>
  <pageMargins left="1.68" right="0.75" top="1.4" bottom="0.75" header="0.5" footer="0.5"/>
  <pageSetup horizontalDpi="600" verticalDpi="600" orientation="landscape" scale="70" r:id="rId2"/>
  <headerFooter alignWithMargins="0">
    <oddHeader>&amp;L&amp;G&amp;C&amp;"Optima,Bold"&amp;18FINANCIAL HIGHLIGHTS - NARRATIVE (CONTINUED)
&amp;16FOR THE QUARTER ENDED MARCH 31, 2003&amp;18
&amp;"Optima,Regular"&amp;12(U.S. dollars in millions)
(Unaudited)</oddHeader>
    <oddFooter>&amp;C&amp;"Optima,Regular"6</oddFooter>
  </headerFooter>
  <legacyDrawingHF r:id="rId1"/>
</worksheet>
</file>

<file path=xl/worksheets/sheet8.xml><?xml version="1.0" encoding="utf-8"?>
<worksheet xmlns="http://schemas.openxmlformats.org/spreadsheetml/2006/main" xmlns:r="http://schemas.openxmlformats.org/officeDocument/2006/relationships">
  <sheetPr codeName="Sheet7"/>
  <dimension ref="A5:M16"/>
  <sheetViews>
    <sheetView workbookViewId="0" topLeftCell="A1">
      <selection activeCell="D21" sqref="D21"/>
    </sheetView>
  </sheetViews>
  <sheetFormatPr defaultColWidth="9.140625" defaultRowHeight="12.75"/>
  <cols>
    <col min="1" max="16384" width="9.140625" style="1" customWidth="1"/>
  </cols>
  <sheetData>
    <row r="5" spans="1:13" ht="13.5">
      <c r="A5" s="14"/>
      <c r="B5" s="14"/>
      <c r="C5" s="14"/>
      <c r="D5" s="14"/>
      <c r="E5" s="14"/>
      <c r="F5" s="14"/>
      <c r="G5" s="14"/>
      <c r="H5" s="14"/>
      <c r="I5" s="14"/>
      <c r="J5" s="14"/>
      <c r="K5" s="14"/>
      <c r="L5" s="14"/>
      <c r="M5" s="14"/>
    </row>
    <row r="6" spans="1:13" ht="13.5">
      <c r="A6" s="14"/>
      <c r="B6" s="14"/>
      <c r="C6" s="14"/>
      <c r="D6" s="14"/>
      <c r="E6" s="14"/>
      <c r="F6" s="14"/>
      <c r="G6" s="14"/>
      <c r="H6" s="14"/>
      <c r="I6" s="14"/>
      <c r="J6" s="14"/>
      <c r="K6" s="14"/>
      <c r="L6" s="14"/>
      <c r="M6" s="14"/>
    </row>
    <row r="7" spans="1:13" ht="13.5">
      <c r="A7" s="14"/>
      <c r="B7" s="14"/>
      <c r="C7" s="14"/>
      <c r="D7" s="14"/>
      <c r="E7" s="14"/>
      <c r="F7" s="14"/>
      <c r="G7" s="14"/>
      <c r="H7" s="14"/>
      <c r="I7" s="14"/>
      <c r="J7" s="14"/>
      <c r="K7" s="14"/>
      <c r="L7" s="14"/>
      <c r="M7" s="14"/>
    </row>
    <row r="16" ht="33.75">
      <c r="D16" s="65" t="s">
        <v>411</v>
      </c>
    </row>
  </sheetData>
  <printOptions horizontalCentered="1" verticalCentered="1"/>
  <pageMargins left="0.75" right="2.67" top="1" bottom="4" header="0.5" footer="0.5"/>
  <pageSetup horizontalDpi="300" verticalDpi="300" orientation="landscape" scale="70" r:id="rId2"/>
  <headerFooter alignWithMargins="0">
    <oddHeader>&amp;L&amp;G</oddHeader>
    <oddFooter>&amp;C&amp;"Optima,Regular"7</oddFooter>
  </headerFooter>
  <legacyDrawingHF r:id="rId1"/>
</worksheet>
</file>

<file path=xl/worksheets/sheet9.xml><?xml version="1.0" encoding="utf-8"?>
<worksheet xmlns="http://schemas.openxmlformats.org/spreadsheetml/2006/main" xmlns:r="http://schemas.openxmlformats.org/officeDocument/2006/relationships">
  <sheetPr codeName="Sheet8"/>
  <dimension ref="A2:O46"/>
  <sheetViews>
    <sheetView workbookViewId="0" topLeftCell="A25">
      <selection activeCell="C41" sqref="C41"/>
    </sheetView>
  </sheetViews>
  <sheetFormatPr defaultColWidth="9.140625" defaultRowHeight="12.75"/>
  <cols>
    <col min="1" max="1" width="4.140625" style="1" customWidth="1"/>
    <col min="2" max="2" width="56.8515625" style="1" customWidth="1"/>
    <col min="3" max="3" width="18.7109375" style="1" customWidth="1"/>
    <col min="4" max="4" width="2.140625" style="1" customWidth="1"/>
    <col min="5" max="5" width="19.421875" style="1" customWidth="1"/>
    <col min="6" max="6" width="2.140625" style="1" customWidth="1"/>
    <col min="7" max="7" width="19.421875" style="1" customWidth="1"/>
    <col min="8" max="8" width="2.140625" style="1" customWidth="1"/>
    <col min="9" max="9" width="19.421875" style="1" customWidth="1"/>
    <col min="10" max="10" width="2.140625" style="1" customWidth="1"/>
    <col min="11" max="11" width="21.7109375" style="1" bestFit="1" customWidth="1"/>
    <col min="12" max="12" width="7.00390625" style="1" customWidth="1"/>
    <col min="13" max="16384" width="9.140625" style="1" customWidth="1"/>
  </cols>
  <sheetData>
    <row r="2" spans="3:11" ht="15.75">
      <c r="C2" s="12" t="s">
        <v>307</v>
      </c>
      <c r="E2" s="12" t="s">
        <v>307</v>
      </c>
      <c r="G2" s="12" t="s">
        <v>307</v>
      </c>
      <c r="I2" s="12" t="s">
        <v>307</v>
      </c>
      <c r="K2" s="12" t="s">
        <v>307</v>
      </c>
    </row>
    <row r="3" spans="3:11" ht="15.75">
      <c r="C3" s="111" t="s">
        <v>27</v>
      </c>
      <c r="E3" s="111" t="s">
        <v>547</v>
      </c>
      <c r="G3" s="111" t="s">
        <v>500</v>
      </c>
      <c r="I3" s="111" t="s">
        <v>402</v>
      </c>
      <c r="K3" s="111" t="s">
        <v>310</v>
      </c>
    </row>
    <row r="4" spans="3:11" ht="15.75">
      <c r="C4" s="25"/>
      <c r="E4" s="176"/>
      <c r="G4" s="176" t="s">
        <v>496</v>
      </c>
      <c r="I4" s="176" t="s">
        <v>496</v>
      </c>
      <c r="K4" s="176" t="s">
        <v>496</v>
      </c>
    </row>
    <row r="5" ht="13.5">
      <c r="A5" s="14" t="s">
        <v>379</v>
      </c>
    </row>
    <row r="6" spans="2:14" ht="15">
      <c r="B6" s="1" t="s">
        <v>404</v>
      </c>
      <c r="C6" s="26">
        <f>3035815+111324</f>
        <v>3147139</v>
      </c>
      <c r="D6" s="26"/>
      <c r="E6" s="26">
        <v>1995501</v>
      </c>
      <c r="F6" s="26"/>
      <c r="G6" s="26">
        <v>3647732</v>
      </c>
      <c r="H6" s="26"/>
      <c r="I6" s="26">
        <v>1538257</v>
      </c>
      <c r="J6" s="26"/>
      <c r="K6" s="26">
        <f>2766148+38528</f>
        <v>2804676</v>
      </c>
      <c r="L6" s="26"/>
      <c r="M6" s="2"/>
      <c r="N6" s="2"/>
    </row>
    <row r="7" spans="2:14" ht="15">
      <c r="B7" s="1" t="s">
        <v>405</v>
      </c>
      <c r="C7" s="26">
        <f>2391771+97313</f>
        <v>2489084</v>
      </c>
      <c r="D7" s="44"/>
      <c r="E7" s="26">
        <v>1559378</v>
      </c>
      <c r="F7" s="44"/>
      <c r="G7" s="26">
        <v>2116133</v>
      </c>
      <c r="H7" s="44"/>
      <c r="I7" s="26">
        <v>1138660</v>
      </c>
      <c r="J7" s="44"/>
      <c r="K7" s="26">
        <f>2121885+36968</f>
        <v>2158853</v>
      </c>
      <c r="L7" s="44"/>
      <c r="M7" s="2"/>
      <c r="N7" s="2"/>
    </row>
    <row r="8" spans="11:14" ht="15">
      <c r="K8" s="23"/>
      <c r="L8" s="23"/>
      <c r="M8" s="2"/>
      <c r="N8" s="2"/>
    </row>
    <row r="9" spans="2:14" ht="15">
      <c r="B9" s="1" t="s">
        <v>435</v>
      </c>
      <c r="C9" s="26">
        <v>1458860</v>
      </c>
      <c r="D9" s="26"/>
      <c r="E9" s="26">
        <v>1532654</v>
      </c>
      <c r="F9" s="26"/>
      <c r="G9" s="26">
        <v>1361598</v>
      </c>
      <c r="H9" s="26"/>
      <c r="I9" s="26">
        <v>1047044</v>
      </c>
      <c r="J9" s="26"/>
      <c r="K9" s="26">
        <v>1025522</v>
      </c>
      <c r="L9" s="26"/>
      <c r="M9" s="2"/>
      <c r="N9" s="2"/>
    </row>
    <row r="10" spans="2:14" ht="15">
      <c r="B10" s="1" t="s">
        <v>436</v>
      </c>
      <c r="C10" s="23">
        <v>92771</v>
      </c>
      <c r="D10" s="23"/>
      <c r="E10" s="23">
        <v>186919</v>
      </c>
      <c r="F10" s="23"/>
      <c r="G10" s="23">
        <v>786383</v>
      </c>
      <c r="H10" s="23"/>
      <c r="I10" s="23">
        <v>10497</v>
      </c>
      <c r="J10" s="23"/>
      <c r="K10" s="46">
        <v>39193</v>
      </c>
      <c r="L10" s="23"/>
      <c r="M10" s="2"/>
      <c r="N10" s="2"/>
    </row>
    <row r="11" spans="2:14" ht="15">
      <c r="B11" s="1" t="s">
        <v>376</v>
      </c>
      <c r="C11" s="23">
        <v>156581</v>
      </c>
      <c r="D11" s="23"/>
      <c r="E11" s="23">
        <v>168505</v>
      </c>
      <c r="F11" s="23"/>
      <c r="G11" s="23">
        <v>161052</v>
      </c>
      <c r="H11" s="23"/>
      <c r="I11" s="23">
        <v>157918</v>
      </c>
      <c r="J11" s="23"/>
      <c r="K11" s="23">
        <v>155609</v>
      </c>
      <c r="L11" s="23"/>
      <c r="M11" s="2"/>
      <c r="N11" s="2"/>
    </row>
    <row r="12" spans="2:14" ht="15">
      <c r="B12" s="1" t="s">
        <v>377</v>
      </c>
      <c r="C12" s="23">
        <v>35323</v>
      </c>
      <c r="D12" s="23"/>
      <c r="E12" s="23">
        <v>32845</v>
      </c>
      <c r="F12" s="23"/>
      <c r="G12" s="23">
        <v>26263</v>
      </c>
      <c r="H12" s="23"/>
      <c r="I12" s="23">
        <v>16825</v>
      </c>
      <c r="J12" s="23"/>
      <c r="K12" s="46">
        <v>15518</v>
      </c>
      <c r="L12" s="23"/>
      <c r="M12" s="2"/>
      <c r="N12" s="2"/>
    </row>
    <row r="13" spans="2:14" ht="14.25" customHeight="1">
      <c r="B13" s="24" t="s">
        <v>190</v>
      </c>
      <c r="C13" s="23">
        <v>-4663</v>
      </c>
      <c r="D13" s="23"/>
      <c r="E13" s="23">
        <v>24948</v>
      </c>
      <c r="F13" s="23"/>
      <c r="G13" s="23">
        <v>-23086</v>
      </c>
      <c r="H13" s="23"/>
      <c r="I13" s="23">
        <v>-110002</v>
      </c>
      <c r="J13" s="23"/>
      <c r="K13" s="23">
        <v>-106020</v>
      </c>
      <c r="L13" s="23"/>
      <c r="M13" s="2"/>
      <c r="N13" s="2"/>
    </row>
    <row r="14" spans="2:14" ht="14.25" customHeight="1">
      <c r="B14" s="24" t="s">
        <v>2</v>
      </c>
      <c r="C14" s="23">
        <v>14493</v>
      </c>
      <c r="E14" s="23">
        <v>-46635</v>
      </c>
      <c r="G14" s="23">
        <v>9484</v>
      </c>
      <c r="I14" s="23">
        <v>-5134</v>
      </c>
      <c r="K14" s="23">
        <v>-9476</v>
      </c>
      <c r="L14" s="23"/>
      <c r="M14" s="2"/>
      <c r="N14" s="2"/>
    </row>
    <row r="15" spans="2:14" ht="15">
      <c r="B15" s="1" t="s">
        <v>191</v>
      </c>
      <c r="C15" s="23">
        <v>26798</v>
      </c>
      <c r="D15" s="23"/>
      <c r="E15" s="23">
        <v>26522</v>
      </c>
      <c r="F15" s="23"/>
      <c r="G15" s="23">
        <v>-1976</v>
      </c>
      <c r="H15" s="23"/>
      <c r="I15" s="23">
        <v>7931</v>
      </c>
      <c r="J15" s="23"/>
      <c r="K15" s="23">
        <v>32185</v>
      </c>
      <c r="L15" s="23"/>
      <c r="M15" s="2"/>
      <c r="N15" s="2"/>
    </row>
    <row r="16" spans="2:14" ht="15">
      <c r="B16" s="1" t="s">
        <v>395</v>
      </c>
      <c r="C16" s="23">
        <v>12277</v>
      </c>
      <c r="E16" s="23">
        <v>16473</v>
      </c>
      <c r="G16" s="23">
        <v>10082</v>
      </c>
      <c r="I16" s="23">
        <v>20459</v>
      </c>
      <c r="K16" s="23">
        <v>7949</v>
      </c>
      <c r="L16" s="23"/>
      <c r="M16" s="2"/>
      <c r="N16" s="2"/>
    </row>
    <row r="17" spans="2:14" ht="15">
      <c r="B17" s="1" t="s">
        <v>437</v>
      </c>
      <c r="C17" s="30">
        <f>SUM(C9:C16)</f>
        <v>1792440</v>
      </c>
      <c r="E17" s="30">
        <f>SUM(E9:E16)</f>
        <v>1942231</v>
      </c>
      <c r="G17" s="30">
        <f>SUM(G9:G16)</f>
        <v>2329800</v>
      </c>
      <c r="I17" s="30">
        <f>SUM(I9:I16)</f>
        <v>1145538</v>
      </c>
      <c r="K17" s="30">
        <f>SUM(K9:K16)</f>
        <v>1160480</v>
      </c>
      <c r="L17" s="26"/>
      <c r="M17" s="2"/>
      <c r="N17" s="2"/>
    </row>
    <row r="18" spans="13:14" ht="15">
      <c r="M18" s="2"/>
      <c r="N18" s="2"/>
    </row>
    <row r="19" spans="1:14" ht="15">
      <c r="A19" s="14" t="s">
        <v>380</v>
      </c>
      <c r="M19" s="2"/>
      <c r="N19" s="2"/>
    </row>
    <row r="20" spans="2:14" ht="15">
      <c r="B20" s="24" t="s">
        <v>381</v>
      </c>
      <c r="C20" s="26">
        <v>885254</v>
      </c>
      <c r="E20" s="26">
        <v>1028715</v>
      </c>
      <c r="G20" s="26">
        <v>834205</v>
      </c>
      <c r="I20" s="26">
        <v>822097</v>
      </c>
      <c r="K20" s="26">
        <v>642298</v>
      </c>
      <c r="L20" s="26"/>
      <c r="M20" s="2"/>
      <c r="N20" s="2"/>
    </row>
    <row r="21" spans="2:14" ht="15">
      <c r="B21" s="1" t="s">
        <v>382</v>
      </c>
      <c r="C21" s="18">
        <v>119558</v>
      </c>
      <c r="D21" s="18"/>
      <c r="E21" s="18">
        <v>199136</v>
      </c>
      <c r="F21" s="18"/>
      <c r="G21" s="18">
        <v>803741</v>
      </c>
      <c r="H21" s="18"/>
      <c r="I21" s="18">
        <v>18816</v>
      </c>
      <c r="J21" s="18"/>
      <c r="K21" s="46">
        <v>47763</v>
      </c>
      <c r="L21" s="18"/>
      <c r="M21" s="2"/>
      <c r="N21" s="2"/>
    </row>
    <row r="22" spans="2:14" ht="15">
      <c r="B22" s="24" t="s">
        <v>397</v>
      </c>
      <c r="C22" s="18">
        <v>240312</v>
      </c>
      <c r="D22" s="18"/>
      <c r="E22" s="18">
        <v>322829</v>
      </c>
      <c r="F22" s="18"/>
      <c r="G22" s="18">
        <v>272510</v>
      </c>
      <c r="H22" s="18"/>
      <c r="I22" s="18">
        <v>174260</v>
      </c>
      <c r="J22" s="18"/>
      <c r="K22" s="18">
        <v>185732</v>
      </c>
      <c r="L22" s="18"/>
      <c r="M22" s="2"/>
      <c r="N22" s="2"/>
    </row>
    <row r="23" spans="2:14" ht="15">
      <c r="B23" s="24" t="s">
        <v>398</v>
      </c>
      <c r="C23" s="18">
        <f>157511+33008</f>
        <v>190519</v>
      </c>
      <c r="D23" s="18"/>
      <c r="E23" s="18">
        <f>135863+44070</f>
        <v>179933</v>
      </c>
      <c r="F23" s="18"/>
      <c r="G23" s="18">
        <f>143128+25291</f>
        <v>168419</v>
      </c>
      <c r="H23" s="18"/>
      <c r="I23" s="18">
        <f>155765+25141</f>
        <v>180906</v>
      </c>
      <c r="J23" s="18"/>
      <c r="K23" s="18">
        <f>123732+21413</f>
        <v>145145</v>
      </c>
      <c r="L23" s="18"/>
      <c r="M23" s="2"/>
      <c r="N23" s="2"/>
    </row>
    <row r="24" spans="2:14" ht="15">
      <c r="B24" s="24" t="s">
        <v>468</v>
      </c>
      <c r="C24" s="18">
        <v>-2702</v>
      </c>
      <c r="D24" s="18"/>
      <c r="E24" s="18">
        <v>-33342</v>
      </c>
      <c r="F24" s="18"/>
      <c r="G24" s="18">
        <v>-15382</v>
      </c>
      <c r="H24" s="18"/>
      <c r="I24" s="18">
        <v>-23206</v>
      </c>
      <c r="J24" s="18"/>
      <c r="K24" s="18">
        <v>-8364</v>
      </c>
      <c r="L24" s="18"/>
      <c r="M24" s="2"/>
      <c r="N24" s="2"/>
    </row>
    <row r="25" spans="2:14" ht="15">
      <c r="B25" s="1" t="s">
        <v>383</v>
      </c>
      <c r="C25" s="18">
        <v>46140</v>
      </c>
      <c r="D25" s="18"/>
      <c r="E25" s="18">
        <v>34510</v>
      </c>
      <c r="F25" s="18"/>
      <c r="G25" s="18">
        <v>51815</v>
      </c>
      <c r="H25" s="18"/>
      <c r="I25" s="18">
        <v>40139</v>
      </c>
      <c r="J25" s="18"/>
      <c r="K25" s="18">
        <v>41622</v>
      </c>
      <c r="L25" s="18"/>
      <c r="M25" s="2"/>
      <c r="N25" s="2"/>
    </row>
    <row r="26" spans="2:14" ht="15">
      <c r="B26" s="1" t="s">
        <v>384</v>
      </c>
      <c r="C26" s="18">
        <v>375</v>
      </c>
      <c r="E26" s="18">
        <v>4687</v>
      </c>
      <c r="G26" s="18">
        <v>875</v>
      </c>
      <c r="I26" s="18">
        <v>11</v>
      </c>
      <c r="K26" s="18">
        <v>614</v>
      </c>
      <c r="L26" s="18"/>
      <c r="M26" s="2"/>
      <c r="N26" s="2"/>
    </row>
    <row r="27" spans="2:14" ht="15">
      <c r="B27" s="1" t="s">
        <v>438</v>
      </c>
      <c r="C27" s="30">
        <f>SUM(C20:C26)</f>
        <v>1479456</v>
      </c>
      <c r="E27" s="30">
        <f>SUM(E20:E26)</f>
        <v>1736468</v>
      </c>
      <c r="G27" s="30">
        <f>SUM(G20:G26)</f>
        <v>2116183</v>
      </c>
      <c r="I27" s="30">
        <f>SUM(I20:I26)</f>
        <v>1213023</v>
      </c>
      <c r="K27" s="30">
        <f>SUM(K20:K26)</f>
        <v>1054810</v>
      </c>
      <c r="L27" s="18"/>
      <c r="M27" s="2"/>
      <c r="N27" s="2"/>
    </row>
    <row r="28" spans="3:14" ht="15">
      <c r="C28" s="18"/>
      <c r="E28" s="18"/>
      <c r="G28" s="18"/>
      <c r="I28" s="18"/>
      <c r="K28" s="18"/>
      <c r="L28" s="18"/>
      <c r="M28" s="2"/>
      <c r="N28" s="2"/>
    </row>
    <row r="29" spans="1:14" ht="15">
      <c r="A29" s="14" t="s">
        <v>193</v>
      </c>
      <c r="D29" s="26"/>
      <c r="F29" s="26"/>
      <c r="H29" s="26"/>
      <c r="J29" s="26"/>
      <c r="L29" s="18"/>
      <c r="M29" s="2"/>
      <c r="N29" s="2"/>
    </row>
    <row r="30" spans="2:14" ht="15">
      <c r="B30" s="14" t="s">
        <v>192</v>
      </c>
      <c r="C30" s="26">
        <f>+C17-C27</f>
        <v>312984</v>
      </c>
      <c r="D30" s="18"/>
      <c r="E30" s="26">
        <f>+E17-E27</f>
        <v>205763</v>
      </c>
      <c r="F30" s="18"/>
      <c r="G30" s="26">
        <f>+G17-G27</f>
        <v>213617</v>
      </c>
      <c r="H30" s="18"/>
      <c r="I30" s="26">
        <f>+I17-I27</f>
        <v>-67485</v>
      </c>
      <c r="J30" s="18"/>
      <c r="K30" s="26">
        <f>+K17-K27</f>
        <v>105670</v>
      </c>
      <c r="L30" s="18"/>
      <c r="M30" s="2"/>
      <c r="N30" s="2"/>
    </row>
    <row r="31" spans="2:14" ht="15">
      <c r="B31" s="1" t="s">
        <v>385</v>
      </c>
      <c r="C31" s="18">
        <v>1862</v>
      </c>
      <c r="D31" s="18"/>
      <c r="E31" s="18">
        <v>6843</v>
      </c>
      <c r="F31" s="18"/>
      <c r="G31" s="18">
        <v>2494</v>
      </c>
      <c r="H31" s="18"/>
      <c r="I31" s="18">
        <v>1779</v>
      </c>
      <c r="J31" s="18"/>
      <c r="K31" s="18">
        <v>2255</v>
      </c>
      <c r="L31" s="18"/>
      <c r="M31" s="2"/>
      <c r="N31" s="2"/>
    </row>
    <row r="32" spans="2:14" ht="15">
      <c r="B32" s="1" t="s">
        <v>194</v>
      </c>
      <c r="C32" s="18">
        <v>20030</v>
      </c>
      <c r="D32" s="18"/>
      <c r="E32" s="18">
        <v>-38493</v>
      </c>
      <c r="F32" s="18"/>
      <c r="G32" s="18">
        <v>24286</v>
      </c>
      <c r="H32" s="18"/>
      <c r="I32" s="18">
        <v>22900</v>
      </c>
      <c r="J32" s="18"/>
      <c r="K32" s="18">
        <v>13954</v>
      </c>
      <c r="L32" s="18"/>
      <c r="M32" s="2"/>
      <c r="N32" s="2"/>
    </row>
    <row r="33" spans="2:14" ht="15">
      <c r="B33" s="1" t="s">
        <v>292</v>
      </c>
      <c r="C33" s="27">
        <v>41087</v>
      </c>
      <c r="E33" s="27">
        <v>16023</v>
      </c>
      <c r="G33" s="27">
        <v>401</v>
      </c>
      <c r="I33" s="27">
        <v>-416</v>
      </c>
      <c r="K33" s="27">
        <v>-32</v>
      </c>
      <c r="L33" s="18"/>
      <c r="M33" s="2"/>
      <c r="N33" s="2"/>
    </row>
    <row r="34" spans="1:14" ht="15">
      <c r="A34" s="14" t="s">
        <v>195</v>
      </c>
      <c r="C34" s="84">
        <f>+C30-C31-C32-C33</f>
        <v>250005</v>
      </c>
      <c r="E34" s="84">
        <f>+E30-E31-E32-E33</f>
        <v>221390</v>
      </c>
      <c r="G34" s="84">
        <f>+G30-G31-G32-G33</f>
        <v>186436</v>
      </c>
      <c r="I34" s="84">
        <f>+I30-I31-I32-I33</f>
        <v>-91748</v>
      </c>
      <c r="K34" s="84">
        <f>+K30-K31-K32-K33</f>
        <v>89493</v>
      </c>
      <c r="L34" s="14"/>
      <c r="M34" s="2"/>
      <c r="N34" s="2"/>
    </row>
    <row r="35" spans="13:14" ht="15">
      <c r="M35" s="2"/>
      <c r="N35" s="2"/>
    </row>
    <row r="36" spans="1:14" ht="15">
      <c r="A36" s="1" t="s">
        <v>591</v>
      </c>
      <c r="C36" s="18">
        <v>-10148</v>
      </c>
      <c r="E36" s="18">
        <v>-7251</v>
      </c>
      <c r="G36" s="18">
        <v>-2369</v>
      </c>
      <c r="I36" s="18">
        <v>0</v>
      </c>
      <c r="K36" s="18">
        <v>0</v>
      </c>
      <c r="M36" s="2"/>
      <c r="N36" s="2"/>
    </row>
    <row r="37" spans="1:14" ht="15">
      <c r="A37" s="14"/>
      <c r="L37" s="31"/>
      <c r="M37" s="2"/>
      <c r="N37" s="2"/>
    </row>
    <row r="38" spans="1:14" ht="15.75" thickBot="1">
      <c r="A38" s="14" t="s">
        <v>503</v>
      </c>
      <c r="C38" s="35">
        <f>SUM(C34:C37)</f>
        <v>239857</v>
      </c>
      <c r="E38" s="35">
        <f>SUM(E34:E37)</f>
        <v>214139</v>
      </c>
      <c r="G38" s="35">
        <f>SUM(G34:G37)</f>
        <v>184067</v>
      </c>
      <c r="I38" s="35">
        <f>SUM(I34:I37)</f>
        <v>-91748</v>
      </c>
      <c r="K38" s="35">
        <f>SUM(K34:K37)</f>
        <v>89493</v>
      </c>
      <c r="M38" s="2"/>
      <c r="N38" s="2"/>
    </row>
    <row r="39" spans="12:14" ht="15.75" thickTop="1">
      <c r="L39" s="2"/>
      <c r="M39" s="2"/>
      <c r="N39" s="2"/>
    </row>
    <row r="40" spans="1:14" ht="15.75" thickBot="1">
      <c r="A40" s="14" t="s">
        <v>43</v>
      </c>
      <c r="B40" s="2"/>
      <c r="C40" s="164">
        <v>592231</v>
      </c>
      <c r="E40" s="164">
        <v>907500</v>
      </c>
      <c r="G40" s="164">
        <f>2128945-564636</f>
        <v>1564309</v>
      </c>
      <c r="I40" s="164">
        <f>564636-K40</f>
        <v>607956</v>
      </c>
      <c r="K40" s="164">
        <v>-43320</v>
      </c>
      <c r="L40" s="2"/>
      <c r="M40" s="2"/>
      <c r="N40" s="2"/>
    </row>
    <row r="41" spans="2:14" ht="15.75" thickTop="1">
      <c r="B41" s="2"/>
      <c r="C41" s="2"/>
      <c r="E41" s="2"/>
      <c r="G41" s="2"/>
      <c r="I41" s="2"/>
      <c r="K41" s="2"/>
      <c r="L41" s="2"/>
      <c r="M41" s="2"/>
      <c r="N41" s="2"/>
    </row>
    <row r="42" spans="1:14" ht="15">
      <c r="A42" s="14" t="s">
        <v>315</v>
      </c>
      <c r="B42" s="2"/>
      <c r="C42" s="2"/>
      <c r="D42" s="2"/>
      <c r="E42" s="2"/>
      <c r="F42" s="2"/>
      <c r="G42" s="2"/>
      <c r="H42" s="2"/>
      <c r="I42" s="2"/>
      <c r="J42" s="2"/>
      <c r="K42" s="2"/>
      <c r="L42" s="2"/>
      <c r="M42" s="2"/>
      <c r="N42" s="2"/>
    </row>
    <row r="43" spans="1:15" ht="13.5" customHeight="1">
      <c r="A43" s="332" t="s">
        <v>16</v>
      </c>
      <c r="B43" s="332"/>
      <c r="C43" s="332"/>
      <c r="D43" s="332"/>
      <c r="E43" s="332"/>
      <c r="F43" s="332"/>
      <c r="G43" s="332"/>
      <c r="H43" s="332"/>
      <c r="I43" s="332"/>
      <c r="J43" s="332"/>
      <c r="K43" s="332"/>
      <c r="L43" s="24"/>
      <c r="M43" s="24"/>
      <c r="N43" s="24"/>
      <c r="O43" s="24"/>
    </row>
    <row r="44" spans="1:15" ht="13.5">
      <c r="A44" s="332"/>
      <c r="B44" s="332"/>
      <c r="C44" s="332"/>
      <c r="D44" s="332"/>
      <c r="E44" s="332"/>
      <c r="F44" s="332"/>
      <c r="G44" s="332"/>
      <c r="H44" s="332"/>
      <c r="I44" s="332"/>
      <c r="J44" s="332"/>
      <c r="K44" s="332"/>
      <c r="L44" s="24"/>
      <c r="M44" s="24"/>
      <c r="N44" s="24"/>
      <c r="O44" s="24"/>
    </row>
    <row r="45" spans="2:14" ht="15">
      <c r="B45" s="2"/>
      <c r="C45" s="2"/>
      <c r="D45" s="2"/>
      <c r="E45" s="2"/>
      <c r="F45" s="2"/>
      <c r="G45" s="2"/>
      <c r="H45" s="2"/>
      <c r="I45" s="2"/>
      <c r="J45" s="2"/>
      <c r="K45" s="2"/>
      <c r="L45" s="2"/>
      <c r="M45" s="2"/>
      <c r="N45" s="2"/>
    </row>
    <row r="46" spans="2:14" ht="15">
      <c r="B46" s="2"/>
      <c r="C46" s="2"/>
      <c r="D46" s="2"/>
      <c r="E46" s="2"/>
      <c r="F46" s="2"/>
      <c r="G46" s="2"/>
      <c r="H46" s="2"/>
      <c r="I46" s="2"/>
      <c r="J46" s="2"/>
      <c r="K46" s="2"/>
      <c r="L46" s="2"/>
      <c r="M46" s="2"/>
      <c r="N46" s="2"/>
    </row>
  </sheetData>
  <mergeCells count="1">
    <mergeCell ref="A43:K44"/>
  </mergeCells>
  <printOptions horizontalCentered="1" verticalCentered="1"/>
  <pageMargins left="0.75" right="0.75" top="1" bottom="0.75" header="0.5" footer="0.5"/>
  <pageSetup horizontalDpi="600" verticalDpi="600" orientation="landscape" scale="70" r:id="rId2"/>
  <headerFooter alignWithMargins="0">
    <oddHeader>&amp;L&amp;G&amp;C&amp;"Optima,Bold"&amp;18CONSOLIDATED STATEMENTS OF INCOME
&amp;"Optima,Regular"&amp;12(U.S. dollars in thousands)
(Unaudited)</oddHeader>
    <oddFooter>&amp;C&amp;"Optima,Regular"8</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XL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 Capital</dc:creator>
  <cp:keywords/>
  <dc:description/>
  <cp:lastModifiedBy>lcassidy</cp:lastModifiedBy>
  <cp:lastPrinted>2003-04-28T21:17:33Z</cp:lastPrinted>
  <dcterms:created xsi:type="dcterms:W3CDTF">2002-08-03T16:32:35Z</dcterms:created>
  <dcterms:modified xsi:type="dcterms:W3CDTF">2003-05-16T16:24:45Z</dcterms:modified>
  <cp:category/>
  <cp:version/>
  <cp:contentType/>
  <cp:contentStatus/>
</cp:coreProperties>
</file>