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40" windowWidth="14940" windowHeight="7620" activeTab="0"/>
  </bookViews>
  <sheets>
    <sheet name="Cover" sheetId="1" r:id="rId1"/>
    <sheet name="Table of Contents" sheetId="2" r:id="rId2"/>
    <sheet name="Financial Highlights" sheetId="3" r:id="rId3"/>
    <sheet name="Consolidated Results" sheetId="4" r:id="rId4"/>
    <sheet name="Consolidated Results 2" sheetId="5" r:id="rId5"/>
    <sheet name="Consol Bal Sheet" sheetId="6" r:id="rId6"/>
    <sheet name="Line of Business " sheetId="7" r:id="rId7"/>
    <sheet name="Segment  2006 Qtr" sheetId="8" r:id="rId8"/>
    <sheet name="Segment  2006 YTD" sheetId="9" r:id="rId9"/>
    <sheet name="Insurance-North American " sheetId="10" r:id="rId10"/>
    <sheet name="Insurance-North American  2" sheetId="11" r:id="rId11"/>
    <sheet name="Insurance-Overseas General " sheetId="12" r:id="rId12"/>
    <sheet name="Global Reinsurance " sheetId="13" r:id="rId13"/>
    <sheet name="Global Reinsurance 2" sheetId="14" r:id="rId14"/>
    <sheet name="Global Reinsurance 3" sheetId="15" r:id="rId15"/>
    <sheet name="Life" sheetId="16" r:id="rId16"/>
    <sheet name="Loss Reserve Rollforward" sheetId="17" r:id="rId17"/>
    <sheet name="Reinsurance Recoverable" sheetId="18" r:id="rId18"/>
    <sheet name="Reinsurance Rec-Active" sheetId="19" r:id="rId19"/>
    <sheet name="Reinsurance Rec-Consolidated" sheetId="20" r:id="rId20"/>
    <sheet name="Reinsurance Recoverable 4" sheetId="21" r:id="rId21"/>
    <sheet name="Investments" sheetId="22" r:id="rId22"/>
    <sheet name="Investments 2" sheetId="23" r:id="rId23"/>
    <sheet name="Investment Gains (Losses) " sheetId="24" r:id="rId24"/>
    <sheet name="Capital Structure" sheetId="25" r:id="rId25"/>
    <sheet name="Earnings per share " sheetId="26" r:id="rId26"/>
    <sheet name="Reconciliation Non-GAAP" sheetId="27" r:id="rId27"/>
    <sheet name="Reconciliation Book Value" sheetId="28" r:id="rId28"/>
    <sheet name="Comprehensive Income" sheetId="29" r:id="rId29"/>
    <sheet name="Glossary" sheetId="30" r:id="rId30"/>
  </sheets>
  <definedNames>
    <definedName name="_xlnm.Print_Area" localSheetId="24">'Capital Structure'!$A$1:$N$31</definedName>
    <definedName name="_xlnm.Print_Area" localSheetId="28">'Comprehensive Income'!$A$1:$Q$20</definedName>
    <definedName name="_xlnm.Print_Area" localSheetId="5">'Consol Bal Sheet'!$A$1:$M$52</definedName>
    <definedName name="_xlnm.Print_Area" localSheetId="3">'Consolidated Results'!$A$1:$P$52</definedName>
    <definedName name="_xlnm.Print_Area" localSheetId="4">'Consolidated Results 2'!$A$1:$L$35</definedName>
    <definedName name="_xlnm.Print_Area" localSheetId="0">'Cover'!$A$1:$N$30</definedName>
    <definedName name="_xlnm.Print_Area" localSheetId="25">'Earnings per share '!$A$1:$K$42</definedName>
    <definedName name="_xlnm.Print_Area" localSheetId="2">'Financial Highlights'!$A$1:$O$49</definedName>
    <definedName name="_xlnm.Print_Area" localSheetId="12">'Global Reinsurance '!$A$1:$R$39</definedName>
    <definedName name="_xlnm.Print_Area" localSheetId="13">'Global Reinsurance 2'!$A$1:$R$44</definedName>
    <definedName name="_xlnm.Print_Area" localSheetId="14">'Global Reinsurance 3'!$A$1:$L$35</definedName>
    <definedName name="_xlnm.Print_Area" localSheetId="29">'Glossary'!$A$1:$G$38</definedName>
    <definedName name="_xlnm.Print_Area" localSheetId="9">'Insurance-North American '!$A$1:$S$48</definedName>
    <definedName name="_xlnm.Print_Area" localSheetId="10">'Insurance-North American  2'!$A$1:$M$36</definedName>
    <definedName name="_xlnm.Print_Area" localSheetId="11">'Insurance-Overseas General '!$A$1:$R$46</definedName>
    <definedName name="_xlnm.Print_Area" localSheetId="23">'Investment Gains (Losses) '!$A$1:$P$42</definedName>
    <definedName name="_xlnm.Print_Area" localSheetId="21">'Investments'!$B$1:$N$46</definedName>
    <definedName name="_xlnm.Print_Area" localSheetId="22">'Investments 2'!$A$1:$N$25</definedName>
    <definedName name="_xlnm.Print_Area" localSheetId="15">'Life'!$A$1:$R$28</definedName>
    <definedName name="_xlnm.Print_Area" localSheetId="6">'Line of Business '!$A$1:$W$28</definedName>
    <definedName name="_xlnm.Print_Area" localSheetId="16">'Loss Reserve Rollforward'!$A$1:$N$54</definedName>
    <definedName name="_xlnm.Print_Area" localSheetId="27">'Reconciliation Book Value'!$A$1:$M$22</definedName>
    <definedName name="_xlnm.Print_Area" localSheetId="26">'Reconciliation Non-GAAP'!$A$1:$M$19</definedName>
    <definedName name="_xlnm.Print_Area" localSheetId="18">'Reinsurance Rec-Active'!$A$1:$J$45</definedName>
    <definedName name="_xlnm.Print_Area" localSheetId="19">'Reinsurance Rec-Consolidated'!$A$1:$J$43</definedName>
    <definedName name="_xlnm.Print_Area" localSheetId="17">'Reinsurance Recoverable'!$A$1:$N$44</definedName>
    <definedName name="_xlnm.Print_Area" localSheetId="20">'Reinsurance Recoverable 4'!$A$1:$K$39</definedName>
    <definedName name="_xlnm.Print_Area" localSheetId="7">'Segment  2006 Qtr'!$A$1:$R$50</definedName>
    <definedName name="_xlnm.Print_Area" localSheetId="8">'Segment  2006 YTD'!$A$1:$R$52</definedName>
    <definedName name="_xlnm.Print_Area" localSheetId="1">'Table of Contents'!$A$1:$F$34</definedName>
    <definedName name="_xlnm.Print_Titles" localSheetId="1">'Table of Contents'!$1:$4</definedName>
    <definedName name="Z_B1C67769_00E4_4820_A414_9C5F6475FA36_.wvu.Cols" localSheetId="28" hidden="1">'Comprehensive Income'!#REF!</definedName>
    <definedName name="Z_B1C67769_00E4_4820_A414_9C5F6475FA36_.wvu.Cols" localSheetId="3" hidden="1">'Consolidated Results'!$S:$S</definedName>
    <definedName name="Z_B1C67769_00E4_4820_A414_9C5F6475FA36_.wvu.Cols" localSheetId="4" hidden="1">'Consolidated Results 2'!#REF!</definedName>
    <definedName name="Z_B1C67769_00E4_4820_A414_9C5F6475FA36_.wvu.Cols" localSheetId="15" hidden="1">'Life'!#REF!</definedName>
    <definedName name="Z_B1C67769_00E4_4820_A414_9C5F6475FA36_.wvu.PrintArea" localSheetId="24" hidden="1">'Capital Structure'!$A$1:$N$31</definedName>
    <definedName name="Z_B1C67769_00E4_4820_A414_9C5F6475FA36_.wvu.PrintArea" localSheetId="28" hidden="1">'Comprehensive Income'!$A$1:$Q$19</definedName>
    <definedName name="Z_B1C67769_00E4_4820_A414_9C5F6475FA36_.wvu.PrintArea" localSheetId="5" hidden="1">'Consol Bal Sheet'!$A$1:$Q$52</definedName>
    <definedName name="Z_B1C67769_00E4_4820_A414_9C5F6475FA36_.wvu.PrintArea" localSheetId="3" hidden="1">'Consolidated Results'!$B$1:$Q$37</definedName>
    <definedName name="Z_B1C67769_00E4_4820_A414_9C5F6475FA36_.wvu.PrintArea" localSheetId="4" hidden="1">'Consolidated Results 2'!$B$1:$K$35</definedName>
    <definedName name="Z_B1C67769_00E4_4820_A414_9C5F6475FA36_.wvu.PrintArea" localSheetId="0" hidden="1">'Cover'!$A$1:$N$30</definedName>
    <definedName name="Z_B1C67769_00E4_4820_A414_9C5F6475FA36_.wvu.PrintArea" localSheetId="25" hidden="1">'Earnings per share '!$A$1:$I$42</definedName>
    <definedName name="Z_B1C67769_00E4_4820_A414_9C5F6475FA36_.wvu.PrintArea" localSheetId="2" hidden="1">'Financial Highlights'!$B$1:$O$49</definedName>
    <definedName name="Z_B1C67769_00E4_4820_A414_9C5F6475FA36_.wvu.PrintArea" localSheetId="12" hidden="1">'Global Reinsurance '!$A$1:$R$39</definedName>
    <definedName name="Z_B1C67769_00E4_4820_A414_9C5F6475FA36_.wvu.PrintArea" localSheetId="13" hidden="1">'Global Reinsurance 2'!$A$1:$R$43</definedName>
    <definedName name="Z_B1C67769_00E4_4820_A414_9C5F6475FA36_.wvu.PrintArea" localSheetId="14" hidden="1">'Global Reinsurance 3'!$A$1:$L$35</definedName>
    <definedName name="Z_B1C67769_00E4_4820_A414_9C5F6475FA36_.wvu.PrintArea" localSheetId="29" hidden="1">'Glossary'!$A$1:$G$38</definedName>
    <definedName name="Z_B1C67769_00E4_4820_A414_9C5F6475FA36_.wvu.PrintArea" localSheetId="9" hidden="1">'Insurance-North American '!$A$1:$S$47</definedName>
    <definedName name="Z_B1C67769_00E4_4820_A414_9C5F6475FA36_.wvu.PrintArea" localSheetId="10" hidden="1">'Insurance-North American  2'!$A$1:$M$35</definedName>
    <definedName name="Z_B1C67769_00E4_4820_A414_9C5F6475FA36_.wvu.PrintArea" localSheetId="11" hidden="1">'Insurance-Overseas General '!$A$1:$Q$46</definedName>
    <definedName name="Z_B1C67769_00E4_4820_A414_9C5F6475FA36_.wvu.PrintArea" localSheetId="23" hidden="1">'Investment Gains (Losses) '!$A$1:$K$42</definedName>
    <definedName name="Z_B1C67769_00E4_4820_A414_9C5F6475FA36_.wvu.PrintArea" localSheetId="21" hidden="1">'Investments'!$B$1:$T$46</definedName>
    <definedName name="Z_B1C67769_00E4_4820_A414_9C5F6475FA36_.wvu.PrintArea" localSheetId="22" hidden="1">'Investments 2'!$B$1:$T$46</definedName>
    <definedName name="Z_B1C67769_00E4_4820_A414_9C5F6475FA36_.wvu.PrintArea" localSheetId="15" hidden="1">'Life'!$B$1:$R$25</definedName>
    <definedName name="Z_B1C67769_00E4_4820_A414_9C5F6475FA36_.wvu.PrintArea" localSheetId="6" hidden="1">'Line of Business '!$A$1:$U$27</definedName>
    <definedName name="Z_B1C67769_00E4_4820_A414_9C5F6475FA36_.wvu.PrintArea" localSheetId="16" hidden="1">'Loss Reserve Rollforward'!$B$1:$N$17</definedName>
    <definedName name="Z_B1C67769_00E4_4820_A414_9C5F6475FA36_.wvu.PrintArea" localSheetId="27" hidden="1">'Reconciliation Book Value'!$A$1:$M$22</definedName>
    <definedName name="Z_B1C67769_00E4_4820_A414_9C5F6475FA36_.wvu.PrintArea" localSheetId="26" hidden="1">'Reconciliation Non-GAAP'!$A$1:$L$18</definedName>
    <definedName name="Z_B1C67769_00E4_4820_A414_9C5F6475FA36_.wvu.PrintArea" localSheetId="18" hidden="1">'Reinsurance Rec-Active'!$A$1:$J$25</definedName>
    <definedName name="Z_B1C67769_00E4_4820_A414_9C5F6475FA36_.wvu.PrintArea" localSheetId="19" hidden="1">'Reinsurance Rec-Consolidated'!$A$1:$L$44</definedName>
    <definedName name="Z_B1C67769_00E4_4820_A414_9C5F6475FA36_.wvu.PrintArea" localSheetId="17" hidden="1">'Reinsurance Recoverable'!$A$1:$P$48</definedName>
    <definedName name="Z_B1C67769_00E4_4820_A414_9C5F6475FA36_.wvu.PrintArea" localSheetId="20" hidden="1">'Reinsurance Recoverable 4'!$A$1:$K$56</definedName>
    <definedName name="Z_B1C67769_00E4_4820_A414_9C5F6475FA36_.wvu.PrintArea" localSheetId="7" hidden="1">'Segment  2006 Qtr'!$A$1:$R$50</definedName>
    <definedName name="Z_B1C67769_00E4_4820_A414_9C5F6475FA36_.wvu.PrintArea" localSheetId="8" hidden="1">'Segment  2006 YTD'!$A$1:$R$52</definedName>
  </definedNames>
  <calcPr fullCalcOnLoad="1"/>
</workbook>
</file>

<file path=xl/sharedStrings.xml><?xml version="1.0" encoding="utf-8"?>
<sst xmlns="http://schemas.openxmlformats.org/spreadsheetml/2006/main" count="1257" uniqueCount="554">
  <si>
    <t>- Net Realized and Unrealized Gains (Losses)</t>
  </si>
  <si>
    <t>Net Realized and Unrealized Gains (Losses)</t>
  </si>
  <si>
    <t>4Q-05</t>
  </si>
  <si>
    <t>Large losses and other items (before tax)</t>
  </si>
  <si>
    <t xml:space="preserve">In presenting our segment operating results we have shown our performance with reference to underwriting results.  Underwriting results are calculated by subtracting losses and loss expenses, life and annuity benefits, policy acquisition costs and administrative expenses from net premiums earned.  We use underwriting results and operating ratios to monitor the results of our operations without the impact of certain factors, including investment income, other income and expenses, interest and income tax expense and net realized gains (losses).  </t>
  </si>
  <si>
    <t>Comprehensive income</t>
  </si>
  <si>
    <t>Basic earnings per share</t>
  </si>
  <si>
    <t xml:space="preserve">   Net income </t>
  </si>
  <si>
    <t xml:space="preserve">Total </t>
  </si>
  <si>
    <t xml:space="preserve">Net investment income </t>
  </si>
  <si>
    <t>Total NPW/GPW</t>
  </si>
  <si>
    <t xml:space="preserve">   Total debt</t>
  </si>
  <si>
    <t>Credit Quality by Market Value</t>
  </si>
  <si>
    <t>- Consolidated Premiums by Line of Business</t>
  </si>
  <si>
    <t>Other FAS 133 adjustments</t>
  </si>
  <si>
    <t>% Change versus prior year period</t>
  </si>
  <si>
    <t>Other ratios</t>
  </si>
  <si>
    <t>Property and all other</t>
  </si>
  <si>
    <t>- Consolidated Financial Highlights</t>
  </si>
  <si>
    <t>Full Year</t>
  </si>
  <si>
    <t xml:space="preserve">Net premiums earned </t>
  </si>
  <si>
    <t>Annualized ROE*</t>
  </si>
  <si>
    <t>Non-GAAP Financial Measures</t>
  </si>
  <si>
    <t>- Non-GAAP Financial Measures</t>
  </si>
  <si>
    <r>
      <t xml:space="preserve">FAS 115:  </t>
    </r>
    <r>
      <rPr>
        <sz val="8"/>
        <rFont val="News Gothic"/>
        <family val="0"/>
      </rPr>
      <t>U</t>
    </r>
    <r>
      <rPr>
        <sz val="8"/>
        <rFont val="News Gothic"/>
        <family val="2"/>
      </rPr>
      <t>nrealized gains (losses) on investments and the deferred tax component included in shareholders' equity.</t>
    </r>
  </si>
  <si>
    <r>
      <t xml:space="preserve">Life underwriting income:  </t>
    </r>
    <r>
      <rPr>
        <sz val="8"/>
        <rFont val="News Gothic"/>
        <family val="0"/>
      </rPr>
      <t>N</t>
    </r>
    <r>
      <rPr>
        <sz val="8"/>
        <rFont val="News Gothic"/>
        <family val="2"/>
      </rPr>
      <t>et premium earned and net investment income less future policy benefits, acquisition costs and administrative expenses.</t>
    </r>
  </si>
  <si>
    <r>
      <t>NM:</t>
    </r>
    <r>
      <rPr>
        <sz val="8"/>
        <rFont val="News Gothic"/>
        <family val="2"/>
      </rPr>
      <t xml:space="preserve">  Not meaningful.</t>
    </r>
  </si>
  <si>
    <r>
      <t xml:space="preserve">Ordinary shareholders' equity: </t>
    </r>
    <r>
      <rPr>
        <sz val="8"/>
        <rFont val="News Gothic"/>
        <family val="0"/>
      </rPr>
      <t xml:space="preserve"> S</t>
    </r>
    <r>
      <rPr>
        <sz val="8"/>
        <rFont val="News Gothic"/>
        <family val="2"/>
      </rPr>
      <t>hareholders' equity less perpetual preferred shares.</t>
    </r>
  </si>
  <si>
    <r>
      <t xml:space="preserve">Tangible equity:  </t>
    </r>
    <r>
      <rPr>
        <sz val="8"/>
        <rFont val="News Gothic"/>
        <family val="0"/>
      </rPr>
      <t>S</t>
    </r>
    <r>
      <rPr>
        <sz val="8"/>
        <rFont val="News Gothic"/>
        <family val="2"/>
      </rPr>
      <t>hareholders' equity less goodwill.</t>
    </r>
  </si>
  <si>
    <t>I.</t>
  </si>
  <si>
    <t>II.</t>
  </si>
  <si>
    <t>Consolidated Results</t>
  </si>
  <si>
    <t>III.</t>
  </si>
  <si>
    <t>Segment Results</t>
  </si>
  <si>
    <t>IV.</t>
  </si>
  <si>
    <t>Balance Sheet Details</t>
  </si>
  <si>
    <t>V.</t>
  </si>
  <si>
    <t>Less: goodwill</t>
  </si>
  <si>
    <t>- Global Reinsurance</t>
  </si>
  <si>
    <t>Net Reinsurance Recoverable by Division</t>
  </si>
  <si>
    <t>Debt plus total preferred stock/ total capitalization</t>
  </si>
  <si>
    <t>Tempest Europe</t>
  </si>
  <si>
    <t>Proceeds from issuance of preferred shares</t>
  </si>
  <si>
    <t>- Computation of Basic and Diluted Earnings Per Share</t>
  </si>
  <si>
    <t>- Summary Consolidated Balance Sheets</t>
  </si>
  <si>
    <t xml:space="preserve">  Unrealized appreciation (depreciation) on investments</t>
  </si>
  <si>
    <t>- Consolidated Results - Consecutive Quarters</t>
  </si>
  <si>
    <t>Total shareholders' equity, excl. AOCI</t>
  </si>
  <si>
    <t xml:space="preserve">    Total shareholders' equity</t>
  </si>
  <si>
    <t>Regulation G - Non-GAAP Financial Measures</t>
  </si>
  <si>
    <t xml:space="preserve">     included in net income</t>
  </si>
  <si>
    <t>Debt plus trust preferreds/ total capitalization</t>
  </si>
  <si>
    <t>Leverage ratios</t>
  </si>
  <si>
    <t>Ceded</t>
  </si>
  <si>
    <r>
      <t>Run-off</t>
    </r>
    <r>
      <rPr>
        <b/>
        <vertAlign val="superscript"/>
        <sz val="8"/>
        <rFont val="News Gothic"/>
        <family val="2"/>
      </rPr>
      <t xml:space="preserve"> (1)</t>
    </r>
  </si>
  <si>
    <t>- Capital Structure</t>
  </si>
  <si>
    <t>- Investment Portfolio</t>
  </si>
  <si>
    <t>Accumulated other comprehensive income (AOCI)</t>
  </si>
  <si>
    <t>Net premiums written/gross premiums written</t>
  </si>
  <si>
    <t xml:space="preserve">   Combined ratio</t>
  </si>
  <si>
    <t xml:space="preserve">   Underwriting income</t>
  </si>
  <si>
    <t xml:space="preserve">   Ordinary shares - end of period</t>
  </si>
  <si>
    <t xml:space="preserve">   Adj. wtd. avg. shares outstanding and assumed conversions</t>
  </si>
  <si>
    <t xml:space="preserve">   Underwriting income (loss)</t>
  </si>
  <si>
    <t xml:space="preserve">   Net income (loss)</t>
  </si>
  <si>
    <t xml:space="preserve">   Total</t>
  </si>
  <si>
    <t xml:space="preserve">Treasury </t>
  </si>
  <si>
    <t>Agency</t>
  </si>
  <si>
    <t xml:space="preserve">Corporate </t>
  </si>
  <si>
    <t>Mortgage-backed securities</t>
  </si>
  <si>
    <t>Asset-backed securities</t>
  </si>
  <si>
    <t>Municipal</t>
  </si>
  <si>
    <t>Non-US</t>
  </si>
  <si>
    <t xml:space="preserve">   Total shareholders' equity</t>
  </si>
  <si>
    <t xml:space="preserve">   Other comprehensive income (loss)</t>
  </si>
  <si>
    <t xml:space="preserve">Cautionary Statement Regarding Forward-Looking Statements: 
</t>
  </si>
  <si>
    <t>Total liabilities and shareholders' equity</t>
  </si>
  <si>
    <t>Helen M. Wilson</t>
  </si>
  <si>
    <t>AA</t>
  </si>
  <si>
    <t>Consolidating Statement of Operations</t>
  </si>
  <si>
    <t xml:space="preserve">Fixed maturities available for sale, at fair value </t>
  </si>
  <si>
    <t>Equity securities, at fair value</t>
  </si>
  <si>
    <t>Segment Results - Consecutive Quarters</t>
  </si>
  <si>
    <t>Ongoing</t>
  </si>
  <si>
    <t>Total short-term debt</t>
  </si>
  <si>
    <t>Fixed maturities</t>
  </si>
  <si>
    <t>Equity securities</t>
  </si>
  <si>
    <t xml:space="preserve">Weighted average diluted ordinary shares outstanding </t>
  </si>
  <si>
    <t>Insurance - Overseas General</t>
  </si>
  <si>
    <t>Total capitalization</t>
  </si>
  <si>
    <t>BB</t>
  </si>
  <si>
    <t>Corporate</t>
  </si>
  <si>
    <t>Short-term investments</t>
  </si>
  <si>
    <t>Net</t>
  </si>
  <si>
    <t>Losses and loss expenses incurred</t>
  </si>
  <si>
    <t>Losses and loss expenses paid</t>
  </si>
  <si>
    <t>ACE Limited</t>
  </si>
  <si>
    <t>ACE</t>
  </si>
  <si>
    <t>North</t>
  </si>
  <si>
    <t>Overseas</t>
  </si>
  <si>
    <t>Global</t>
  </si>
  <si>
    <t>General</t>
  </si>
  <si>
    <t>Reinsurance</t>
  </si>
  <si>
    <t>Consolidated</t>
  </si>
  <si>
    <t>Cash</t>
  </si>
  <si>
    <t>Insurance and reinsurance balances receivable</t>
  </si>
  <si>
    <t>Reinsurance recoverable</t>
  </si>
  <si>
    <t>Deferred policy acquisition costs</t>
  </si>
  <si>
    <t>Prepaid reinsurance premiums</t>
  </si>
  <si>
    <t>Goodwill</t>
  </si>
  <si>
    <t>Deferred tax assets</t>
  </si>
  <si>
    <t>Other assets</t>
  </si>
  <si>
    <t>Unpaid losses and loss expenses</t>
  </si>
  <si>
    <t>Unearned premiums</t>
  </si>
  <si>
    <t>Future policy benefits for life and annuity contracts</t>
  </si>
  <si>
    <t>Insurance and reinsurance balances payable</t>
  </si>
  <si>
    <t>Accounts payable, accrued expenses and other liabilities</t>
  </si>
  <si>
    <t>Short-term debt</t>
  </si>
  <si>
    <t>Long-term debt</t>
  </si>
  <si>
    <t>Trust preferred securities</t>
  </si>
  <si>
    <t xml:space="preserve">   Total liabilities</t>
  </si>
  <si>
    <t>Shareholders' equity</t>
  </si>
  <si>
    <t xml:space="preserve">   Income excluding net realized gains (losses)</t>
  </si>
  <si>
    <t>Global Reinsurance</t>
  </si>
  <si>
    <t>Total</t>
  </si>
  <si>
    <t>Life and annuity benefits</t>
  </si>
  <si>
    <t>Losses and loss expenses</t>
  </si>
  <si>
    <t>Life</t>
  </si>
  <si>
    <t>Net investment income</t>
  </si>
  <si>
    <t>Income tax expense</t>
  </si>
  <si>
    <t>Loss and loss expense ratio</t>
  </si>
  <si>
    <t>Gross premiums written</t>
  </si>
  <si>
    <t>Net premiums written</t>
  </si>
  <si>
    <t>Net premiums earned</t>
  </si>
  <si>
    <t>Administrative expenses</t>
  </si>
  <si>
    <t>Combined ratio</t>
  </si>
  <si>
    <t>Policy acquisition costs</t>
  </si>
  <si>
    <t>Policy acquisition cost ratio</t>
  </si>
  <si>
    <t>Market Value per Balance Sheet</t>
  </si>
  <si>
    <t>Cost</t>
  </si>
  <si>
    <t>Income tax (expense) benefit related to other comprehensive</t>
  </si>
  <si>
    <t xml:space="preserve">    income items</t>
  </si>
  <si>
    <t>Assets</t>
  </si>
  <si>
    <t>Liabilities</t>
  </si>
  <si>
    <t>Asset Allocation by Market Value</t>
  </si>
  <si>
    <t>Administrative expense ratio</t>
  </si>
  <si>
    <t>Interest expense</t>
  </si>
  <si>
    <t>Financial Highlights</t>
  </si>
  <si>
    <t>Other</t>
  </si>
  <si>
    <t>AAA</t>
  </si>
  <si>
    <t xml:space="preserve">AA </t>
  </si>
  <si>
    <t>A</t>
  </si>
  <si>
    <t>BBB</t>
  </si>
  <si>
    <t>B</t>
  </si>
  <si>
    <t>(in millions of U.S. dollars)</t>
  </si>
  <si>
    <t>Gross</t>
  </si>
  <si>
    <t>Page</t>
  </si>
  <si>
    <t>Consolidated Statements of Operations</t>
  </si>
  <si>
    <t>Income tax expense (benefit)</t>
  </si>
  <si>
    <t>Financial Supplement Table of Contents</t>
  </si>
  <si>
    <t>Net reinsurance recoverable</t>
  </si>
  <si>
    <t>Capital Structure</t>
  </si>
  <si>
    <t>Insurance -</t>
  </si>
  <si>
    <t>American</t>
  </si>
  <si>
    <t>Securities lending collateral</t>
  </si>
  <si>
    <t>&amp; Other</t>
  </si>
  <si>
    <t>% Change</t>
  </si>
  <si>
    <t>Unpaid Losses</t>
  </si>
  <si>
    <t>Summary Consolidated Balance Sheets</t>
  </si>
  <si>
    <t>Computation of Basic and Diluted Earnings Per Share</t>
  </si>
  <si>
    <t>(Unaudited)</t>
  </si>
  <si>
    <t>ACE Limited Consolidated</t>
  </si>
  <si>
    <t>Operating cash flow</t>
  </si>
  <si>
    <t xml:space="preserve">Net realized gains (losses) </t>
  </si>
  <si>
    <t>Minimum pension liability adjustment</t>
  </si>
  <si>
    <t xml:space="preserve">Loss and loss expense ratio </t>
  </si>
  <si>
    <t xml:space="preserve">Policy acquisition cost ratio </t>
  </si>
  <si>
    <t xml:space="preserve">Administrative expense ratio </t>
  </si>
  <si>
    <t xml:space="preserve">Net Realized </t>
  </si>
  <si>
    <t xml:space="preserve">Net Unrealized </t>
  </si>
  <si>
    <t>Impact</t>
  </si>
  <si>
    <t xml:space="preserve">    Total assets</t>
  </si>
  <si>
    <t>Gross reinsurance recoverable</t>
  </si>
  <si>
    <t>Underwriting and administrative expense ratio</t>
  </si>
  <si>
    <t>Equity and fixed income derivatives</t>
  </si>
  <si>
    <t xml:space="preserve">  Total</t>
  </si>
  <si>
    <t>Perpetual preferred dividend</t>
  </si>
  <si>
    <t>Net realized gains (losses), net of income tax</t>
  </si>
  <si>
    <t>Issued under employee stock purchase plan</t>
  </si>
  <si>
    <t>Insurance - North American</t>
  </si>
  <si>
    <t>- Insurance-North American</t>
  </si>
  <si>
    <t>- Loss Reserve Rollforward</t>
  </si>
  <si>
    <t>- Insurance-Overseas General</t>
  </si>
  <si>
    <t>- Reinsurance Recoverable Analysis</t>
  </si>
  <si>
    <t>- Glossary</t>
  </si>
  <si>
    <t>Stock (cancelled) granted</t>
  </si>
  <si>
    <t>Issued for option exercises</t>
  </si>
  <si>
    <t>Weighted average shares outstanding</t>
  </si>
  <si>
    <t>Effect of other dilutive securities</t>
  </si>
  <si>
    <t>Loss Reserve Rollforward</t>
  </si>
  <si>
    <t>Reinsurance Recoverable Analysis</t>
  </si>
  <si>
    <t>Reconciliation to Loss Reserve Rollforward</t>
  </si>
  <si>
    <t>- Comprehensive Income</t>
  </si>
  <si>
    <t>Investment Portfolio</t>
  </si>
  <si>
    <t>Foreign exchange gains (losses)</t>
  </si>
  <si>
    <t>NM</t>
  </si>
  <si>
    <t>Total gains (losses)</t>
  </si>
  <si>
    <t>Debt/ tangible equity</t>
  </si>
  <si>
    <t>Debt/ total capitalization</t>
  </si>
  <si>
    <t>Net realized gains (losses)</t>
  </si>
  <si>
    <t>Other investments</t>
  </si>
  <si>
    <t>Short term investments</t>
  </si>
  <si>
    <t xml:space="preserve"> </t>
  </si>
  <si>
    <t>Tempest USA</t>
  </si>
  <si>
    <t>Tempest Bermuda</t>
  </si>
  <si>
    <t>Glossary</t>
  </si>
  <si>
    <t>Avg. market yield of fixed maturities</t>
  </si>
  <si>
    <t>Avg. credit quality</t>
  </si>
  <si>
    <t>P&amp;C</t>
  </si>
  <si>
    <t>(in millions of U.S. dollars, except share and per share data)</t>
  </si>
  <si>
    <t xml:space="preserve">   Net income</t>
  </si>
  <si>
    <t>December 31</t>
  </si>
  <si>
    <t>March 31</t>
  </si>
  <si>
    <t>Numerator</t>
  </si>
  <si>
    <t>Ordinary shares - beginning of period</t>
  </si>
  <si>
    <t>Rollforward of ordinary shares</t>
  </si>
  <si>
    <t>Denominator</t>
  </si>
  <si>
    <t>Personal accident</t>
  </si>
  <si>
    <t xml:space="preserve">% of </t>
  </si>
  <si>
    <t>Other Disclosures</t>
  </si>
  <si>
    <t xml:space="preserve">Fax: (441) 292-8675   </t>
  </si>
  <si>
    <t xml:space="preserve">Phone: (441) 299-9283             </t>
  </si>
  <si>
    <t>email:  investorrelations@ace.bm</t>
  </si>
  <si>
    <t>- Consolidating Statement of Operations</t>
  </si>
  <si>
    <t>Ordinary shareholders' equity</t>
  </si>
  <si>
    <t>Deposit liabilities</t>
  </si>
  <si>
    <t>Consolidated Premiums by Line of Business</t>
  </si>
  <si>
    <t>Book value per ordinary share</t>
  </si>
  <si>
    <t>Consolidated Financial Highlights</t>
  </si>
  <si>
    <t>Consolidated Results - Consecutive Quarters</t>
  </si>
  <si>
    <t>Global Reinsurance - By Division</t>
  </si>
  <si>
    <t>Market Value</t>
  </si>
  <si>
    <t xml:space="preserve">   Subtotal</t>
  </si>
  <si>
    <t>Total P&amp;C</t>
  </si>
  <si>
    <t>Total Consolidated</t>
  </si>
  <si>
    <t>Consolidated Statement of Comprehensive Income</t>
  </si>
  <si>
    <t>Net unrealized appreciation (depreciation) on investments</t>
  </si>
  <si>
    <t>Investor Contact</t>
  </si>
  <si>
    <t>Large losses and other items</t>
  </si>
  <si>
    <t>Casualty</t>
  </si>
  <si>
    <t xml:space="preserve">  Reclassification adjustment for net realized gains (losses)</t>
  </si>
  <si>
    <t xml:space="preserve">Gains  </t>
  </si>
  <si>
    <r>
      <t xml:space="preserve">(Losses) </t>
    </r>
    <r>
      <rPr>
        <b/>
        <sz val="6"/>
        <rFont val="News Gothic"/>
        <family val="2"/>
      </rPr>
      <t>(1)</t>
    </r>
  </si>
  <si>
    <t>(Losses)</t>
  </si>
  <si>
    <t xml:space="preserve">   Total inv. portfolio gains (losses)</t>
  </si>
  <si>
    <t xml:space="preserve">   Total gains (losses)</t>
  </si>
  <si>
    <t xml:space="preserve">   Net gains (losses)</t>
  </si>
  <si>
    <r>
      <t xml:space="preserve">(Losses) </t>
    </r>
    <r>
      <rPr>
        <b/>
        <sz val="6"/>
        <rFont val="News Gothic"/>
        <family val="2"/>
      </rPr>
      <t>(2)</t>
    </r>
  </si>
  <si>
    <t>Total trust preferreds</t>
  </si>
  <si>
    <t>Comprehensive Income</t>
  </si>
  <si>
    <t>Segment Results - Consecutive Quarters - 2</t>
  </si>
  <si>
    <t>Cost/Amortized Cost</t>
  </si>
  <si>
    <r>
      <t xml:space="preserve">YTD:  </t>
    </r>
    <r>
      <rPr>
        <sz val="8"/>
        <rFont val="News Gothic"/>
        <family val="2"/>
      </rPr>
      <t>Year to date.</t>
    </r>
  </si>
  <si>
    <t>(in millions of U.S. dollars, except per share data)</t>
  </si>
  <si>
    <t xml:space="preserve">    Total investments </t>
  </si>
  <si>
    <t>Other (income) expense</t>
  </si>
  <si>
    <t>Tax expense (benefit) on net realized gains (losses)</t>
  </si>
  <si>
    <r>
      <t>Total long-term debt</t>
    </r>
    <r>
      <rPr>
        <vertAlign val="superscript"/>
        <sz val="8"/>
        <rFont val="News Gothic"/>
        <family val="0"/>
      </rPr>
      <t xml:space="preserve"> </t>
    </r>
  </si>
  <si>
    <r>
      <t xml:space="preserve">   Income (loss) excluding net realized gains (losses) </t>
    </r>
    <r>
      <rPr>
        <vertAlign val="superscript"/>
        <sz val="8"/>
        <rFont val="News Gothic"/>
        <family val="2"/>
      </rPr>
      <t>(1)</t>
    </r>
  </si>
  <si>
    <r>
      <t xml:space="preserve">   Income excluding net realized gains (losses) </t>
    </r>
    <r>
      <rPr>
        <vertAlign val="superscript"/>
        <sz val="8"/>
        <rFont val="News Gothic"/>
        <family val="2"/>
      </rPr>
      <t>(1)</t>
    </r>
  </si>
  <si>
    <t>Annualized ROE, excluding FAS 115*</t>
  </si>
  <si>
    <t>Active operations</t>
  </si>
  <si>
    <t>Brandywine</t>
  </si>
  <si>
    <t>Net income</t>
  </si>
  <si>
    <t>Balance at December 31, 2004</t>
  </si>
  <si>
    <t>AOCI</t>
  </si>
  <si>
    <t>YTD</t>
  </si>
  <si>
    <t>QTR</t>
  </si>
  <si>
    <t>(in millions of U.S. dollars, except share, per share data and ratios)</t>
  </si>
  <si>
    <t xml:space="preserve">Brandywine </t>
  </si>
  <si>
    <t>2005</t>
  </si>
  <si>
    <t>Balance at March 31, 2005</t>
  </si>
  <si>
    <t xml:space="preserve">Active operations </t>
  </si>
  <si>
    <t xml:space="preserve">Perpetual preferred </t>
  </si>
  <si>
    <r>
      <t xml:space="preserve">Tangible shareholders' equity </t>
    </r>
    <r>
      <rPr>
        <vertAlign val="superscript"/>
        <sz val="8"/>
        <rFont val="News Gothic"/>
        <family val="2"/>
      </rPr>
      <t>(1)</t>
    </r>
  </si>
  <si>
    <t>(1)  Tangible equity is equal to shareholders' equity less goodwill.</t>
  </si>
  <si>
    <t>Investments in partially owned insurance companies</t>
  </si>
  <si>
    <t>Debt plus trust preferreds/ tangible equity</t>
  </si>
  <si>
    <t>Securities lending payable</t>
  </si>
  <si>
    <t>Fixed maturities held to maturity, at amortized cost</t>
  </si>
  <si>
    <r>
      <t xml:space="preserve">Total capitalization:  </t>
    </r>
    <r>
      <rPr>
        <sz val="8"/>
        <rFont val="News Gothic"/>
        <family val="0"/>
      </rPr>
      <t>S</t>
    </r>
    <r>
      <rPr>
        <sz val="8"/>
        <rFont val="News Gothic"/>
        <family val="2"/>
      </rPr>
      <t>hort-term debt, long-term debt, trust preferreds, perpetual preferred shares and shareholders' equity.</t>
    </r>
  </si>
  <si>
    <t>Reinsurance Recoverable for Active Operations</t>
  </si>
  <si>
    <t>Categories</t>
  </si>
  <si>
    <t>Recoverable</t>
  </si>
  <si>
    <t>% of Gross</t>
  </si>
  <si>
    <t>Top 10 reinsurers</t>
  </si>
  <si>
    <t>Other reinsurers balances &gt;$20 million</t>
  </si>
  <si>
    <t>Other reinsurers balances &lt;$20 million</t>
  </si>
  <si>
    <t>Mandatory pools and government agencies</t>
  </si>
  <si>
    <t>Structured settlements</t>
  </si>
  <si>
    <t>Captives</t>
  </si>
  <si>
    <r>
      <t>Other</t>
    </r>
    <r>
      <rPr>
        <vertAlign val="superscript"/>
        <sz val="8"/>
        <rFont val="News Gothic"/>
        <family val="2"/>
      </rPr>
      <t>(1)</t>
    </r>
  </si>
  <si>
    <r>
      <t xml:space="preserve">Top 10 Reinsurers (net of collateral) </t>
    </r>
    <r>
      <rPr>
        <b/>
        <u val="single"/>
        <vertAlign val="superscript"/>
        <sz val="8"/>
        <rFont val="News Gothic"/>
        <family val="0"/>
      </rPr>
      <t>(2)</t>
    </r>
  </si>
  <si>
    <r>
      <t xml:space="preserve">Other Reinsurers Balances Greater Than $20 million (net of collateral) </t>
    </r>
    <r>
      <rPr>
        <b/>
        <u val="single"/>
        <vertAlign val="superscript"/>
        <sz val="8"/>
        <rFont val="News Gothic"/>
        <family val="0"/>
      </rPr>
      <t>(2)</t>
    </r>
  </si>
  <si>
    <t>Detail on Reinsurance Recoverable on Paid Losses and Loss Expenses</t>
  </si>
  <si>
    <r>
      <t xml:space="preserve">General Collections </t>
    </r>
    <r>
      <rPr>
        <b/>
        <vertAlign val="superscript"/>
        <sz val="8"/>
        <rFont val="News Gothic"/>
        <family val="2"/>
      </rPr>
      <t>(1)</t>
    </r>
  </si>
  <si>
    <r>
      <t>Other</t>
    </r>
    <r>
      <rPr>
        <b/>
        <vertAlign val="superscript"/>
        <sz val="8"/>
        <rFont val="News Gothic"/>
        <family val="2"/>
      </rPr>
      <t xml:space="preserve"> (2)</t>
    </r>
  </si>
  <si>
    <t>% of gross</t>
  </si>
  <si>
    <t>Consolidated Reinsurance Recoverable</t>
  </si>
  <si>
    <t>Fixed maturities available for sale</t>
  </si>
  <si>
    <t>Fixed maturities held to maturity</t>
  </si>
  <si>
    <t>Balance at June 30, 2005</t>
  </si>
  <si>
    <t>Avg. duration of fixed maturities, adjusted for int. rate swaps</t>
  </si>
  <si>
    <t>1Q-04</t>
  </si>
  <si>
    <t>Partially owned insurance companies - MARKET</t>
  </si>
  <si>
    <t>Partially owned insurance companies - Cost</t>
  </si>
  <si>
    <t>Held to maturity</t>
  </si>
  <si>
    <t>Total other at cost</t>
  </si>
  <si>
    <t>Consolidated Results - Consecutive Quarters - 2</t>
  </si>
  <si>
    <t xml:space="preserve">(1)  The run-off reserves primarily include the Brandywine group, the Commercial Insurance Service - Middle Market Worker's Comp. reserves and the pre-1997 Westchester Specialty reserves.  </t>
  </si>
  <si>
    <t>The Company's forward-looking statements could also be affected by competition, pricing and policy term trends, the levels of new and renewal business achieved, market acceptance, changes in demand, actual market developments, rating agency action, possible terrorism or the outbreak and effects of war.  Readers are cautioned not to place undue reliance on these forward-looking statements, which speak only as of the dates on which they are made.  The Company undertakes no obligation to publicly update or revise any forward-looking statements, whether as a result of new information, future events or otherwise.</t>
  </si>
  <si>
    <t>3Q-05</t>
  </si>
  <si>
    <t>Q2</t>
  </si>
  <si>
    <t>Q1</t>
  </si>
  <si>
    <t>Balance at September 30, 2005</t>
  </si>
  <si>
    <t xml:space="preserve">Weighted average basic ordinary shares outstanding </t>
  </si>
  <si>
    <t>Life underwriting income excluding investment income</t>
  </si>
  <si>
    <t>Catastrophe and other large losses (before tax)</t>
  </si>
  <si>
    <t>Property and Casualty net premiums written</t>
  </si>
  <si>
    <t xml:space="preserve">Property and Casualty net premiums earned </t>
  </si>
  <si>
    <t>Balance at December 31, 2005</t>
  </si>
  <si>
    <t>Diluted earnings per share</t>
  </si>
  <si>
    <t xml:space="preserve">   Other (incl. foreign exch. revaluation)</t>
  </si>
  <si>
    <t xml:space="preserve">   Losses and loss expenses incurred</t>
  </si>
  <si>
    <t xml:space="preserve">   Losses and loss expenses paid</t>
  </si>
  <si>
    <t>Tangible book value per ordinary share</t>
  </si>
  <si>
    <t>Book Value per Ordinary Share</t>
  </si>
  <si>
    <t>Reconciliation of Book Value per Ordinary Share</t>
  </si>
  <si>
    <t>Numerator for book value per share calculation</t>
  </si>
  <si>
    <t xml:space="preserve">Numerator for tangible book value per share </t>
  </si>
  <si>
    <r>
      <t xml:space="preserve">Book value per ordinary share </t>
    </r>
    <r>
      <rPr>
        <b/>
        <vertAlign val="superscript"/>
        <sz val="8"/>
        <rFont val="News Gothic"/>
        <family val="2"/>
      </rPr>
      <t>(1)</t>
    </r>
  </si>
  <si>
    <r>
      <t xml:space="preserve">Tangible book value per ordinary share </t>
    </r>
    <r>
      <rPr>
        <b/>
        <vertAlign val="superscript"/>
        <sz val="8"/>
        <rFont val="News Gothic"/>
        <family val="2"/>
      </rPr>
      <t>(1)</t>
    </r>
  </si>
  <si>
    <r>
      <t xml:space="preserve">Tangible book value per ordinary share:  </t>
    </r>
    <r>
      <rPr>
        <sz val="8"/>
        <rFont val="News Gothic"/>
        <family val="0"/>
      </rPr>
      <t>O</t>
    </r>
    <r>
      <rPr>
        <sz val="8"/>
        <rFont val="News Gothic"/>
        <family val="2"/>
      </rPr>
      <t>rdinary shareholders' equity less goodwill divided by the shares outstanding.</t>
    </r>
  </si>
  <si>
    <r>
      <t>Book value per ordinary share:</t>
    </r>
    <r>
      <rPr>
        <sz val="8"/>
        <rFont val="News Gothic"/>
        <family val="0"/>
      </rPr>
      <t xml:space="preserve"> Ordinar</t>
    </r>
    <r>
      <rPr>
        <sz val="8"/>
        <rFont val="News Gothic"/>
        <family val="2"/>
      </rPr>
      <t>y shareholders' equity divided by the shares outstanding.</t>
    </r>
  </si>
  <si>
    <t>Life Insurance and Reinsurance</t>
  </si>
  <si>
    <t>2.9 years</t>
  </si>
  <si>
    <t>Prior period development - unfavorable (favorable)</t>
  </si>
  <si>
    <t>- Book Value per Ordinary Share</t>
  </si>
  <si>
    <t>Income tax expense (benefit) on net realized gains (losses)</t>
  </si>
  <si>
    <t>(2) Excludes recoverable amounts from companies who are in supervision, rehabilitation or liquidation, or are captive reinsurers, mandatory pools or voluntary pools.</t>
  </si>
  <si>
    <t xml:space="preserve">Denominator </t>
  </si>
  <si>
    <r>
      <t xml:space="preserve">Combined ratio </t>
    </r>
    <r>
      <rPr>
        <b/>
        <vertAlign val="superscript"/>
        <sz val="8"/>
        <rFont val="News Gothic"/>
        <family val="2"/>
      </rPr>
      <t>(1)</t>
    </r>
  </si>
  <si>
    <r>
      <t xml:space="preserve">Large losses and other items </t>
    </r>
    <r>
      <rPr>
        <b/>
        <vertAlign val="superscript"/>
        <sz val="8"/>
        <rFont val="News Gothic"/>
        <family val="2"/>
      </rPr>
      <t>(1)</t>
    </r>
  </si>
  <si>
    <t>- Life Insurance and Reinsurance</t>
  </si>
  <si>
    <t>Balance at March 31, 2006</t>
  </si>
  <si>
    <t>Gross balance at March 31, 2006</t>
  </si>
  <si>
    <t>1Q-06</t>
  </si>
  <si>
    <t>Gross balance at December 31, 2005</t>
  </si>
  <si>
    <t>2006</t>
  </si>
  <si>
    <t>(Audited)</t>
  </si>
  <si>
    <t>Payable for securities purchased</t>
  </si>
  <si>
    <t>Short-term investments, at fair value</t>
  </si>
  <si>
    <r>
      <t>Property and Casualty</t>
    </r>
    <r>
      <rPr>
        <vertAlign val="superscript"/>
        <sz val="8"/>
        <rFont val="News Gothic"/>
        <family val="2"/>
      </rPr>
      <t>(1)</t>
    </r>
  </si>
  <si>
    <r>
      <t>% Change versus prior year period</t>
    </r>
    <r>
      <rPr>
        <b/>
        <vertAlign val="superscript"/>
        <sz val="8"/>
        <rFont val="News Gothic"/>
        <family val="2"/>
      </rPr>
      <t>(1)</t>
    </r>
  </si>
  <si>
    <t>Reinsurance Recoverable Analysis - 3</t>
  </si>
  <si>
    <t>(1) We assess the performance of our Life Insurance and Reinsurance business based on life underwriting income which includes net investment income.</t>
  </si>
  <si>
    <r>
      <t xml:space="preserve">   Income excluding net realized gains (losses) </t>
    </r>
    <r>
      <rPr>
        <vertAlign val="superscript"/>
        <sz val="8"/>
        <rFont val="News Gothic"/>
        <family val="2"/>
      </rPr>
      <t>(2)</t>
    </r>
  </si>
  <si>
    <r>
      <t xml:space="preserve">   Life underwriting income </t>
    </r>
    <r>
      <rPr>
        <vertAlign val="superscript"/>
        <sz val="8"/>
        <rFont val="News Gothic"/>
        <family val="2"/>
      </rPr>
      <t>(1)</t>
    </r>
  </si>
  <si>
    <t>Reinsurance Recoverable Analysis - 2</t>
  </si>
  <si>
    <t>Reinsurance Recoverable Analysis - 4</t>
  </si>
  <si>
    <t xml:space="preserve">   Net income available to the holders of ordinary shares</t>
  </si>
  <si>
    <r>
      <t xml:space="preserve">Income excluding net realized gains (losses) and cumulative effect </t>
    </r>
    <r>
      <rPr>
        <vertAlign val="superscript"/>
        <sz val="8"/>
        <rFont val="News Gothic"/>
        <family val="2"/>
      </rPr>
      <t>(1)</t>
    </r>
  </si>
  <si>
    <t>Other investments - unrealized booked to income</t>
  </si>
  <si>
    <t>Comp Income</t>
  </si>
  <si>
    <t>Unrealized g/l</t>
  </si>
  <si>
    <t>Reinsurance recoverable on paid losses and loss expenses</t>
  </si>
  <si>
    <t>Reinsurance recoverable on future policy benefits</t>
  </si>
  <si>
    <t xml:space="preserve">   Net income available to the holders of ordinary shares excluding cumulative effect</t>
  </si>
  <si>
    <t>3.1 years</t>
  </si>
  <si>
    <t>Cumulative effect of a change in accounting principle, net of tax</t>
  </si>
  <si>
    <t>Effective tax rate on income excluding net realized gains (losses) and cumulative effect</t>
  </si>
  <si>
    <r>
      <t>Income excluding net realized gains (losses) and cumulative effect</t>
    </r>
    <r>
      <rPr>
        <vertAlign val="superscript"/>
        <sz val="8"/>
        <rFont val="News Gothic"/>
        <family val="2"/>
      </rPr>
      <t>(1)</t>
    </r>
  </si>
  <si>
    <t>Cumulative effect of a change in  accounting principle, net of tax</t>
  </si>
  <si>
    <t xml:space="preserve">   Income to ordinary shares, excl. net realized gains (losses) and cumulative effect</t>
  </si>
  <si>
    <r>
      <t xml:space="preserve">Annualized return on ordinary shareholders' equity (ROE): </t>
    </r>
    <r>
      <rPr>
        <sz val="8"/>
        <rFont val="News Gothic"/>
        <family val="2"/>
      </rPr>
      <t xml:space="preserve"> Income (loss) excluding net realized gains (losses) and cumulative effect less perpetual preferred securities divided by average ordinary shareholders' equity for the period.  To annualize a quarterly rate multiply by four.</t>
    </r>
  </si>
  <si>
    <r>
      <t xml:space="preserve">Return on ordinary shareholders' equity (ROE):  </t>
    </r>
    <r>
      <rPr>
        <sz val="8"/>
        <rFont val="News Gothic"/>
        <family val="0"/>
      </rPr>
      <t>I</t>
    </r>
    <r>
      <rPr>
        <sz val="8"/>
        <rFont val="News Gothic"/>
        <family val="2"/>
      </rPr>
      <t>ncome (loss) excluding net realized gains (losses) and cumulative effect less perpetual preferred securities divided by average ordinary shareholders' equity.</t>
    </r>
  </si>
  <si>
    <t>This report is for informational purposes only.  It should be read in conjunction with documents filed by ACE Limited with the Securities and Exchange Commission, including the most recent Annual Report on Form 10-K and Quarterly Reports on Form 10-Q.</t>
  </si>
  <si>
    <r>
      <t xml:space="preserve">   Income (loss) excluding net realized gains (losses) and cumulative effect </t>
    </r>
    <r>
      <rPr>
        <vertAlign val="superscript"/>
        <sz val="8"/>
        <rFont val="News Gothic"/>
        <family val="2"/>
      </rPr>
      <t>(1)</t>
    </r>
  </si>
  <si>
    <r>
      <t>Cumulative effect:</t>
    </r>
    <r>
      <rPr>
        <sz val="8"/>
        <rFont val="News Gothic"/>
        <family val="2"/>
      </rPr>
      <t xml:space="preserve">  The cumulative effect of a change in accounting principle is a benefit resulting from the accrual of a forfeiture rate on the restricted stock under Financial Accounting Standard 123R “Share-Based Payment”.</t>
    </r>
  </si>
  <si>
    <t>Life Insurance</t>
  </si>
  <si>
    <t>&amp; Reinsurance</t>
  </si>
  <si>
    <t>Provision for uncollectible reinsurance</t>
  </si>
  <si>
    <t>Provision for uncollectible reinsurance on paid losses and loss expenses</t>
  </si>
  <si>
    <t>Provision</t>
  </si>
  <si>
    <t>Provision at 12/31/05</t>
  </si>
  <si>
    <t>Provision at 3/31/06</t>
  </si>
  <si>
    <t>* Calculated using income excluding net realized gains (losses) and cumulative effect of a change in accounting principle (cumulative effect)</t>
  </si>
  <si>
    <t>Reinsurance recoverable on unpaid losses and loss expenses</t>
  </si>
  <si>
    <t>Westchester Run-off</t>
  </si>
  <si>
    <t>Other Run-off</t>
  </si>
  <si>
    <t>Change in cumulative translation adjustment</t>
  </si>
  <si>
    <t>Balance at June 30, 2006</t>
  </si>
  <si>
    <t>June 30</t>
  </si>
  <si>
    <t>Provision at 6/30/06</t>
  </si>
  <si>
    <t>2Q-06</t>
  </si>
  <si>
    <t>3.2 years</t>
  </si>
  <si>
    <t xml:space="preserve">Any forward-looking statements made in this financial supplement reflect the Company’s current views with respect to future events and financial performance and are made pursuant to the safe harbor provisions of the Private Securities Litigation Reform Act of 1995.  Such statements involve risks and uncertainties which may cause actual results to differ materially from those set forth in these statements.  For example, the Company’s forward-looking statements, such as statements concerning exposures, reserves and recoverables, could be affected by the frequency of unpredictable catastrophic events, actual loss experience, uncertainties in the reserving or settlement process, new theories of liability, judicial, legislative, regulatory and other governmental developments, litigation tactics and developments, investigation developments and actual settlement terms, the amount and timing of reinsurance receivable and credit developments among reinsurers.  </t>
  </si>
  <si>
    <t>Gross balance at June 30, 2006</t>
  </si>
  <si>
    <t>3Q-06</t>
  </si>
  <si>
    <t>Balance at September 30, 2006</t>
  </si>
  <si>
    <t>September 30</t>
  </si>
  <si>
    <t>Gross balance at September 30, 2006</t>
  </si>
  <si>
    <t>Provision at 9/30/06</t>
  </si>
  <si>
    <t>Income taxes payable</t>
  </si>
  <si>
    <t xml:space="preserve">ytd 2005 </t>
  </si>
  <si>
    <t>Roll Calc</t>
  </si>
  <si>
    <t>Current YTD vs Q3 2005 YTD</t>
  </si>
  <si>
    <t>2005 YTD</t>
  </si>
  <si>
    <t>Roll Check</t>
  </si>
  <si>
    <t>Financial Supplement</t>
  </si>
  <si>
    <t/>
  </si>
  <si>
    <r>
      <t xml:space="preserve">  Income (loss) excluding net realized gains (losses) and cumulative effect </t>
    </r>
    <r>
      <rPr>
        <vertAlign val="superscript"/>
        <sz val="8"/>
        <rFont val="News Gothic"/>
        <family val="2"/>
      </rPr>
      <t>(2)</t>
    </r>
  </si>
  <si>
    <t xml:space="preserve">  Net income (loss)</t>
  </si>
  <si>
    <t xml:space="preserve">  P&amp;C underwriting income (loss)</t>
  </si>
  <si>
    <t xml:space="preserve">   Other (Randall Sale)</t>
  </si>
  <si>
    <t>3.0 years</t>
  </si>
  <si>
    <t>Manual input</t>
  </si>
  <si>
    <r>
      <t xml:space="preserve">Effective tax rate:  </t>
    </r>
    <r>
      <rPr>
        <sz val="8"/>
        <rFont val="News Gothic"/>
        <family val="0"/>
      </rPr>
      <t>I</t>
    </r>
    <r>
      <rPr>
        <sz val="8"/>
        <rFont val="News Gothic"/>
        <family val="2"/>
      </rPr>
      <t>ncome tax expense divided by the sum of income tax expense and income (loss) excluding net realized gains (losses) and cumulative effect.</t>
    </r>
  </si>
  <si>
    <t xml:space="preserve">The following non-GAAP measure is a common performance measurement and is defined as income (loss) excluding net realized gains (losses), the tax expense (benefit) on net realized gains (losses) and cumulative effect of a change in accounting principle, net of tax.  We believe this presentation enhances the understanding of our results of operations by highlighting the underlying profitability of our insurance business.  We exclude net realized gains (losses) because the amount of these gains (losses) is heavily influenced by, and fluctuates in part according to, the availability of market opportunities.  We exclude the benefit of the cumulative effect of a change in accounting principle, net of tax, because this benefit resulted in a one time adjustment to income.  We believe these amounts are largely independent of our business and including them would distort the analysis of trends.  Income excluding net realized gains (losses) and cumulative effect should not be viewed as a substitute for net income determined in accordance with generally accepted accounting principles (GAAP). </t>
  </si>
  <si>
    <t>Three months ended December 31</t>
  </si>
  <si>
    <t>Year ended December 31</t>
  </si>
  <si>
    <t>4Q-06 vs.</t>
  </si>
  <si>
    <t>4Q-06</t>
  </si>
  <si>
    <t>2Q-05</t>
  </si>
  <si>
    <t>1Q-05</t>
  </si>
  <si>
    <t>2006 vs.</t>
  </si>
  <si>
    <t xml:space="preserve">2005 </t>
  </si>
  <si>
    <t>December 31, 2005</t>
  </si>
  <si>
    <t>December 31, 2006</t>
  </si>
  <si>
    <t>Three months ended December 31, 2006 and 2005</t>
  </si>
  <si>
    <t>Year ended December 31, 2006 and 2005</t>
  </si>
  <si>
    <t>Segment Results - Consecutive Quarters - 3</t>
  </si>
  <si>
    <t>Balance at December 31, 2006</t>
  </si>
  <si>
    <t>Gross balance at December 31, 2006</t>
  </si>
  <si>
    <t>Provision at 12/31/06</t>
  </si>
  <si>
    <r>
      <t>Net balance at December 31, 2006</t>
    </r>
    <r>
      <rPr>
        <b/>
        <vertAlign val="superscript"/>
        <sz val="8"/>
        <rFont val="News Gothic"/>
        <family val="2"/>
      </rPr>
      <t xml:space="preserve"> (3)</t>
    </r>
  </si>
  <si>
    <t>Three months ended December 31, 2006</t>
  </si>
  <si>
    <t>Year ended December 31, 2006</t>
  </si>
  <si>
    <t>Three months ended December 31, 2005</t>
  </si>
  <si>
    <t>Year ended December 31, 2005</t>
  </si>
  <si>
    <t xml:space="preserve">(2) The quarter includes impairments of $40M for fixed maturities, $10M for equities and $2M for other investments. Year to date includes impairments of $68M for fixed maturities,  $16M for equities and $4M for other investments.   </t>
  </si>
  <si>
    <t xml:space="preserve">(1) Property and casualty excluding  Life is presented to allow for comparison and analysis with earnings guidance.  This is a non-GAAP measure. </t>
  </si>
  <si>
    <t>Net balance at December 31, 2005</t>
  </si>
  <si>
    <t>Net balance at March 31, 2006</t>
  </si>
  <si>
    <t>Net balance at June 30, 2006</t>
  </si>
  <si>
    <t>Net balance at September 30, 2006</t>
  </si>
  <si>
    <t>Issued (Public Offering)</t>
  </si>
  <si>
    <r>
      <t xml:space="preserve">P&amp;C: </t>
    </r>
    <r>
      <rPr>
        <sz val="8"/>
        <rFont val="News Gothic"/>
        <family val="2"/>
      </rPr>
      <t>Property and casualty.</t>
    </r>
  </si>
  <si>
    <r>
      <t xml:space="preserve">Combined ratio:   </t>
    </r>
    <r>
      <rPr>
        <sz val="8"/>
        <rFont val="News Gothic"/>
        <family val="0"/>
      </rPr>
      <t>T</t>
    </r>
    <r>
      <rPr>
        <sz val="8"/>
        <rFont val="News Gothic"/>
        <family val="2"/>
      </rPr>
      <t>he sum of the loss and loss expense ratio, acquisition cost ratio and the administrative expense ratio for the property and casualty business.  Calculated on a GAAP basis.</t>
    </r>
  </si>
  <si>
    <t xml:space="preserve">  Net income</t>
  </si>
  <si>
    <r>
      <t xml:space="preserve">  Income excluding net realized gains (losses) and cumulative effect </t>
    </r>
    <r>
      <rPr>
        <vertAlign val="superscript"/>
        <sz val="8"/>
        <rFont val="News Gothic"/>
        <family val="2"/>
      </rPr>
      <t>(2)</t>
    </r>
  </si>
  <si>
    <t>Net income, as reported</t>
  </si>
  <si>
    <t>Income excluding net realized gains (losses) and cumulative effect</t>
  </si>
  <si>
    <t>2-3</t>
  </si>
  <si>
    <t>6-7</t>
  </si>
  <si>
    <t>8-9</t>
  </si>
  <si>
    <t>11-13</t>
  </si>
  <si>
    <t>16-19</t>
  </si>
  <si>
    <r>
      <t xml:space="preserve">Combined ratios:  </t>
    </r>
    <r>
      <rPr>
        <sz val="8"/>
        <rFont val="News Gothic"/>
        <family val="0"/>
      </rPr>
      <t>L</t>
    </r>
    <r>
      <rPr>
        <sz val="8"/>
        <rFont val="News Gothic"/>
        <family val="2"/>
      </rPr>
      <t>oss and loss expense ratios, policy acquisition cost ratios and administrative expense ratios excluding life reinsurance business.  Calculated on a GAAP basis.</t>
    </r>
  </si>
  <si>
    <t xml:space="preserve">(1) The quarter includes impairments of $12M for fixed maturities and $1M for equities.  Year to date includes impairments of $198M for fixed maturities, $10M for equities and $6M for other investments.   </t>
  </si>
  <si>
    <t>AGRI General Ins Co</t>
  </si>
  <si>
    <t>American International Group (AIG)</t>
  </si>
  <si>
    <t>Berkshire Hathaway Insurance Group</t>
  </si>
  <si>
    <t>Chubb Insurance Group</t>
  </si>
  <si>
    <t>Everest Re Group</t>
  </si>
  <si>
    <t>HDI Haftpflichtverband Der Deutschen Industrie Vag (Hannover)</t>
  </si>
  <si>
    <t>Lloyd's Of London</t>
  </si>
  <si>
    <t>Munich Re Group</t>
  </si>
  <si>
    <t>Swiss Re Group</t>
  </si>
  <si>
    <t>XL Capital Group</t>
  </si>
  <si>
    <t>AIOI Insurance Group</t>
  </si>
  <si>
    <t>Allianz</t>
  </si>
  <si>
    <t>Allied World Assurance Group</t>
  </si>
  <si>
    <t>Arch Capital</t>
  </si>
  <si>
    <t>Aspen Insurance Holdings Ltd</t>
  </si>
  <si>
    <t>AXA</t>
  </si>
  <si>
    <t>CIGNA</t>
  </si>
  <si>
    <t>CNA Insurance Companies</t>
  </si>
  <si>
    <t>Converium Group</t>
  </si>
  <si>
    <t>Electric Insurance Company</t>
  </si>
  <si>
    <t>Endurance Specialty Holdings Ltd</t>
  </si>
  <si>
    <t>Fairfax Financial</t>
  </si>
  <si>
    <t>Federal Crop Insurance Corp</t>
  </si>
  <si>
    <t>Gerling Global Group</t>
  </si>
  <si>
    <t>Independence Blue Cross Group</t>
  </si>
  <si>
    <t>ING Groep NV</t>
  </si>
  <si>
    <t>IRB - Brasil Resseguros S.A. Group</t>
  </si>
  <si>
    <t>Liberty Mutual Insurance Companies</t>
  </si>
  <si>
    <t>Montpelier Reinsurance Ltd</t>
  </si>
  <si>
    <t>Partner Re</t>
  </si>
  <si>
    <t>Platinum Underwriters</t>
  </si>
  <si>
    <t>PMA Capital Corp</t>
  </si>
  <si>
    <t>Renaissance Re Holdings Ltd</t>
  </si>
  <si>
    <t>Royal &amp; Sun Alliance Insurance Group</t>
  </si>
  <si>
    <t>SCOR Group</t>
  </si>
  <si>
    <t>Sompo Japan Group</t>
  </si>
  <si>
    <t>St Paul Travelers Companies</t>
  </si>
  <si>
    <t>Tawa UK Ltd</t>
  </si>
  <si>
    <t>Toa Reinsurance Company</t>
  </si>
  <si>
    <t>White Mountains Insurance Group</t>
  </si>
  <si>
    <t>WR Berkley Corp</t>
  </si>
  <si>
    <t>Zurich Financial Services Group</t>
  </si>
  <si>
    <t>Allstate Group</t>
  </si>
  <si>
    <t>AVIVA</t>
  </si>
  <si>
    <t>Castlewood Holdings Limited</t>
  </si>
  <si>
    <t>Dominion Insurance Co Ltd</t>
  </si>
  <si>
    <t>Dow Chemical Co</t>
  </si>
  <si>
    <t>Dukes Place Holdings</t>
  </si>
  <si>
    <t>Equitas</t>
  </si>
  <si>
    <t>FM Global Group</t>
  </si>
  <si>
    <t>General Motors Corp</t>
  </si>
  <si>
    <t>Hartford Insurance Group</t>
  </si>
  <si>
    <t>Millea Holdings</t>
  </si>
  <si>
    <t>Trenwick Group</t>
  </si>
  <si>
    <t xml:space="preserve">At September 30, 2006, $7.7 billion of the active operations' recoverables were from rated reinsurers, of which 93.8% were rated the equivalent of A- or better by internationally recognized rating agencies.  The Company held collateral of $3.1 billion, of which $1.8 billion was matched and usable against existing recoverables. </t>
  </si>
  <si>
    <t>3.3 years</t>
  </si>
  <si>
    <t>Property and Casualty</t>
  </si>
  <si>
    <t>At September 30, 2006, $11.6 billion of ACE Limited recoverables were from rated reinsurers, of which 93.7% were rated the equivalent of A- or better by internationally recognized rating agencies.</t>
  </si>
  <si>
    <t>Investment portfolio</t>
  </si>
  <si>
    <t>Top 10 Exposures - Fixed Maturity Investments</t>
  </si>
  <si>
    <t>General Electric Co</t>
  </si>
  <si>
    <t>Citigroup Inc</t>
  </si>
  <si>
    <t>HSBC Holdings Plc</t>
  </si>
  <si>
    <t>Morgan Stanley</t>
  </si>
  <si>
    <t>JP Morgan Chase &amp; Co</t>
  </si>
  <si>
    <t>Bank of America Corp</t>
  </si>
  <si>
    <t>Wells Fargo &amp; Co</t>
  </si>
  <si>
    <t>Verizon Communications Inc</t>
  </si>
  <si>
    <t>Comcast Corp</t>
  </si>
  <si>
    <t>Lehman Brothers Holdings Inc</t>
  </si>
  <si>
    <t>Wachovia Corp</t>
  </si>
  <si>
    <t>20-21</t>
  </si>
  <si>
    <t>(1) See page 25 Non-GAAP Financial Measures.</t>
  </si>
  <si>
    <t>(2) See page 25 Non-GAAP Financial Measures.</t>
  </si>
  <si>
    <t xml:space="preserve">In presenting our results, we have included and discussed certain non-GAAP measures.  These non-GAAP measures, which may be defined differently by other companies, are important for an understanding of our overall results of operations; however, they should not be viewed as a substitute for measures determined in accordance with GAAP.  A reconciliation of book value per share is provided on page 26.  </t>
  </si>
  <si>
    <t>(1) Other includes amounts recoverable that are in dispute, or are from companies who are in supervision, rehabilitation or liquidation.  Our estimate of provision for uncollectible reinsurance associated with Other considers the credit quality of the reinsurer, and whether we have received collateral or other credit protections such as parental guarantees.</t>
  </si>
  <si>
    <r>
      <t xml:space="preserve">(2) </t>
    </r>
    <r>
      <rPr>
        <sz val="7"/>
        <rFont val="News Gothic"/>
        <family val="0"/>
      </rPr>
      <t>Excludes recoverable amounts from companies who are in supervision, rehabilitation or liquidation, or are captive reinsurers, mandatory pools or voluntary pools.</t>
    </r>
  </si>
  <si>
    <t xml:space="preserve">(1) General collections balances represent amounts in process of collection in the normal course of business, for which we have no indication of dispute or credit issues. </t>
  </si>
  <si>
    <t>(2) Other includes amounts recoverable that are in dispute, or are from companies who are in supervision, rehabilitation or liquidation for Brandywine Group and active operations.  Our estimation of the reserve for other, considers the merits of the underlying matter, the credit quality of the reinsurer, and whether we have received collateral or other credit protections such as parental guarantees.</t>
  </si>
  <si>
    <t>(3) The current quarter split between general collections and other is estimated based on prior quarter balances.  Balances are adjusted to actual in the next quarter.</t>
  </si>
  <si>
    <r>
      <t xml:space="preserve">Brandywine (asbestos, environmental and other run-off losses) </t>
    </r>
    <r>
      <rPr>
        <vertAlign val="superscript"/>
        <sz val="8"/>
        <rFont val="News Gothic"/>
        <family val="2"/>
      </rPr>
      <t>(3)</t>
    </r>
  </si>
  <si>
    <t>(3) Includes a provision for bad debt and unallocated loss adjustment expenses.</t>
  </si>
  <si>
    <r>
      <t xml:space="preserve">Brandywine (asbestos, environmental and other run-off losses) </t>
    </r>
    <r>
      <rPr>
        <vertAlign val="superscript"/>
        <sz val="8"/>
        <rFont val="News Gothic"/>
        <family val="2"/>
      </rPr>
      <t>(2)</t>
    </r>
  </si>
  <si>
    <t>(2) Includes a provision for bad debt and unallocated loss adjustment expenses.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</si>
</sst>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_(&quot;$&quot;* #,##0.0_);_(&quot;$&quot;* \(#,##0.0\);_(&quot;$&quot;* &quot;-&quot;??_);_(@_)"/>
    <numFmt numFmtId="166" formatCode="0.0%"/>
    <numFmt numFmtId="167" formatCode="_(&quot;$&quot;* #,##0_);_(&quot;$&quot;* \(#,##0\);_(&quot;$&quot;* &quot;-&quot;??_);_(@_)"/>
    <numFmt numFmtId="168" formatCode="_(* #,##0_);_(* \(#,##0\);_(* &quot;-&quot;??_);_(@_)"/>
    <numFmt numFmtId="169" formatCode="mmmm\ d"/>
    <numFmt numFmtId="170" formatCode="0.00000"/>
    <numFmt numFmtId="171" formatCode="0_);\(0\)"/>
    <numFmt numFmtId="172" formatCode="#,##0.000_);\(#,##0.000\)"/>
    <numFmt numFmtId="173" formatCode="_(* #,##0.0_);_(* \(#,##0.0\);_(* &quot;-&quot;_);_(@_)"/>
    <numFmt numFmtId="174" formatCode="m/d/yy"/>
    <numFmt numFmtId="175" formatCode="dd\-mmm\-yy"/>
    <numFmt numFmtId="176" formatCode="mmmm\ d\,\ yyyy"/>
    <numFmt numFmtId="177" formatCode="#,##0.0000_);\(#,##0.0000\)"/>
    <numFmt numFmtId="178" formatCode="mmmm\-yy"/>
    <numFmt numFmtId="179" formatCode="#,##0.0%;\(#,##0.0%\)"/>
    <numFmt numFmtId="180" formatCode="_(* #,##0.0_);_(* \(#,##0.0\);_(* &quot;-&quot;??_);_(@_)"/>
    <numFmt numFmtId="181" formatCode="_(&quot;$&quot;* #,##0.000_);_(&quot;$&quot;* \(#,##0.000\);_(&quot;$&quot;* &quot;-&quot;???_);_(@_)"/>
    <numFmt numFmtId="182" formatCode="_(&quot;$&quot;* #,##0.000_);_(&quot;$&quot;* \(#,##0.000\);_(&quot;$&quot;* &quot;-&quot;??_);_(@_)"/>
  </numFmts>
  <fonts count="45">
    <font>
      <sz val="10"/>
      <name val="Times New Roman"/>
      <family val="1"/>
    </font>
    <font>
      <sz val="10"/>
      <name val="Arial"/>
      <family val="0"/>
    </font>
    <font>
      <b/>
      <sz val="10"/>
      <name val="Times New Roman"/>
      <family val="1"/>
    </font>
    <font>
      <sz val="10"/>
      <name val="Helv"/>
      <family val="0"/>
    </font>
    <font>
      <sz val="12"/>
      <name val="Helv"/>
      <family val="0"/>
    </font>
    <font>
      <u val="single"/>
      <sz val="10"/>
      <color indexed="12"/>
      <name val="Times New Roman"/>
      <family val="1"/>
    </font>
    <font>
      <u val="single"/>
      <sz val="10"/>
      <color indexed="36"/>
      <name val="Times New Roman"/>
      <family val="1"/>
    </font>
    <font>
      <b/>
      <sz val="10"/>
      <name val="News Gothic"/>
      <family val="2"/>
    </font>
    <font>
      <sz val="8"/>
      <name val="News Gothic"/>
      <family val="2"/>
    </font>
    <font>
      <b/>
      <sz val="8"/>
      <name val="News Gothic"/>
      <family val="2"/>
    </font>
    <font>
      <b/>
      <sz val="7"/>
      <name val="News Gothic"/>
      <family val="2"/>
    </font>
    <font>
      <b/>
      <u val="single"/>
      <sz val="10"/>
      <name val="News Gothic"/>
      <family val="2"/>
    </font>
    <font>
      <b/>
      <i/>
      <sz val="8"/>
      <name val="News Gothic"/>
      <family val="2"/>
    </font>
    <font>
      <sz val="6"/>
      <name val="News Gothic"/>
      <family val="2"/>
    </font>
    <font>
      <b/>
      <u val="single"/>
      <sz val="8"/>
      <name val="News Gothic"/>
      <family val="2"/>
    </font>
    <font>
      <sz val="10"/>
      <name val="News Gothic"/>
      <family val="2"/>
    </font>
    <font>
      <b/>
      <sz val="12"/>
      <name val="News Gothic"/>
      <family val="2"/>
    </font>
    <font>
      <b/>
      <vertAlign val="superscript"/>
      <sz val="8"/>
      <name val="News Gothic"/>
      <family val="2"/>
    </font>
    <font>
      <vertAlign val="superscript"/>
      <sz val="8"/>
      <name val="News Gothic"/>
      <family val="2"/>
    </font>
    <font>
      <vertAlign val="superscript"/>
      <sz val="7"/>
      <name val="News Gothic"/>
      <family val="2"/>
    </font>
    <font>
      <sz val="7"/>
      <name val="News Gothic"/>
      <family val="2"/>
    </font>
    <font>
      <b/>
      <i/>
      <u val="single"/>
      <sz val="8"/>
      <name val="News Gothic"/>
      <family val="2"/>
    </font>
    <font>
      <b/>
      <sz val="6"/>
      <name val="News Gothic"/>
      <family val="2"/>
    </font>
    <font>
      <sz val="8"/>
      <color indexed="53"/>
      <name val="News Gothic"/>
      <family val="2"/>
    </font>
    <font>
      <sz val="8"/>
      <color indexed="12"/>
      <name val="News Gothic"/>
      <family val="2"/>
    </font>
    <font>
      <u val="single"/>
      <sz val="8"/>
      <color indexed="12"/>
      <name val="News Gothic"/>
      <family val="2"/>
    </font>
    <font>
      <b/>
      <sz val="14"/>
      <name val="News Gothic"/>
      <family val="2"/>
    </font>
    <font>
      <sz val="18"/>
      <color indexed="9"/>
      <name val="News Gothic"/>
      <family val="2"/>
    </font>
    <font>
      <sz val="12"/>
      <name val="News Gothic"/>
      <family val="2"/>
    </font>
    <font>
      <sz val="8"/>
      <name val="Times New Roman"/>
      <family val="1"/>
    </font>
    <font>
      <b/>
      <u val="single"/>
      <sz val="8"/>
      <name val="Times New Roman"/>
      <family val="1"/>
    </font>
    <font>
      <sz val="7"/>
      <name val="Times New Roman"/>
      <family val="1"/>
    </font>
    <font>
      <b/>
      <sz val="8"/>
      <color indexed="12"/>
      <name val="News Gothic"/>
      <family val="2"/>
    </font>
    <font>
      <i/>
      <sz val="8"/>
      <name val="News Gothic"/>
      <family val="0"/>
    </font>
    <font>
      <u val="single"/>
      <sz val="8"/>
      <name val="News Gothic"/>
      <family val="0"/>
    </font>
    <font>
      <b/>
      <sz val="10"/>
      <color indexed="10"/>
      <name val="News Gothic"/>
      <family val="2"/>
    </font>
    <font>
      <b/>
      <u val="single"/>
      <sz val="9"/>
      <name val="News Gothic"/>
      <family val="2"/>
    </font>
    <font>
      <sz val="8"/>
      <color indexed="10"/>
      <name val="News Gothic"/>
      <family val="2"/>
    </font>
    <font>
      <u val="single"/>
      <sz val="10"/>
      <name val="News Gothic"/>
      <family val="2"/>
    </font>
    <font>
      <b/>
      <u val="single"/>
      <vertAlign val="superscript"/>
      <sz val="8"/>
      <name val="News Gothic"/>
      <family val="0"/>
    </font>
    <font>
      <sz val="8"/>
      <name val="Arial"/>
      <family val="0"/>
    </font>
    <font>
      <b/>
      <sz val="8"/>
      <name val="Arial"/>
      <family val="0"/>
    </font>
    <font>
      <sz val="10"/>
      <name val="Bookman"/>
      <family val="0"/>
    </font>
    <font>
      <b/>
      <i/>
      <sz val="8"/>
      <color indexed="10"/>
      <name val="News Gothic"/>
      <family val="2"/>
    </font>
    <font>
      <sz val="3"/>
      <name val="News Gothic"/>
      <family val="2"/>
    </font>
  </fonts>
  <fills count="3">
    <fill>
      <patternFill/>
    </fill>
    <fill>
      <patternFill patternType="gray125"/>
    </fill>
    <fill>
      <patternFill patternType="solid">
        <fgColor indexed="63"/>
        <bgColor indexed="64"/>
      </patternFill>
    </fill>
  </fills>
  <borders count="7">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style="thin"/>
      <right style="thin"/>
      <top style="thin"/>
      <bottom style="thin"/>
    </border>
  </borders>
  <cellStyleXfs count="28">
    <xf numFmtId="3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39" fontId="0" fillId="0" borderId="0">
      <alignment/>
      <protection/>
    </xf>
    <xf numFmtId="170" fontId="42" fillId="0" borderId="0">
      <alignment/>
      <protection/>
    </xf>
    <xf numFmtId="0" fontId="3" fillId="0" borderId="0">
      <alignment/>
      <protection/>
    </xf>
    <xf numFmtId="3" fontId="4" fillId="0" borderId="0">
      <alignment/>
      <protection/>
    </xf>
    <xf numFmtId="0" fontId="4" fillId="0" borderId="0">
      <alignment/>
      <protection/>
    </xf>
    <xf numFmtId="0" fontId="1" fillId="0" borderId="0">
      <alignment/>
      <protection/>
    </xf>
    <xf numFmtId="9" fontId="1" fillId="0" borderId="0" applyFont="0" applyFill="0" applyBorder="0" applyAlignment="0" applyProtection="0"/>
  </cellStyleXfs>
  <cellXfs count="653">
    <xf numFmtId="39" fontId="0" fillId="0" borderId="0" xfId="0" applyAlignment="1">
      <alignment/>
    </xf>
    <xf numFmtId="39" fontId="8" fillId="0" borderId="0" xfId="0" applyFont="1" applyAlignment="1">
      <alignment/>
    </xf>
    <xf numFmtId="39" fontId="9" fillId="0" borderId="0" xfId="0" applyFont="1" applyAlignment="1">
      <alignment horizontal="center"/>
    </xf>
    <xf numFmtId="39" fontId="11" fillId="0" borderId="0" xfId="0" applyFont="1" applyAlignment="1">
      <alignment/>
    </xf>
    <xf numFmtId="39" fontId="9" fillId="0" borderId="1" xfId="0" applyFont="1" applyBorder="1" applyAlignment="1">
      <alignment horizontal="center"/>
    </xf>
    <xf numFmtId="39" fontId="9" fillId="0" borderId="0" xfId="0" applyFont="1" applyBorder="1" applyAlignment="1">
      <alignment horizontal="center"/>
    </xf>
    <xf numFmtId="0" fontId="9" fillId="0" borderId="1" xfId="0" applyNumberFormat="1" applyFont="1" applyBorder="1" applyAlignment="1">
      <alignment horizontal="center"/>
    </xf>
    <xf numFmtId="39" fontId="8" fillId="0" borderId="0" xfId="0" applyFont="1" applyBorder="1" applyAlignment="1">
      <alignment/>
    </xf>
    <xf numFmtId="9" fontId="8" fillId="0" borderId="0" xfId="27" applyFont="1" applyAlignment="1">
      <alignment/>
    </xf>
    <xf numFmtId="37" fontId="8" fillId="0" borderId="0" xfId="0" applyNumberFormat="1" applyFont="1" applyAlignment="1">
      <alignment/>
    </xf>
    <xf numFmtId="41" fontId="8" fillId="0" borderId="0" xfId="0" applyNumberFormat="1" applyFont="1" applyBorder="1" applyAlignment="1">
      <alignment/>
    </xf>
    <xf numFmtId="37" fontId="8" fillId="0" borderId="2" xfId="0" applyNumberFormat="1" applyFont="1" applyBorder="1" applyAlignment="1">
      <alignment/>
    </xf>
    <xf numFmtId="37" fontId="8" fillId="0" borderId="0" xfId="0" applyNumberFormat="1" applyFont="1" applyBorder="1" applyAlignment="1">
      <alignment/>
    </xf>
    <xf numFmtId="164" fontId="8" fillId="0" borderId="0" xfId="0" applyNumberFormat="1" applyFont="1" applyBorder="1" applyAlignment="1">
      <alignment/>
    </xf>
    <xf numFmtId="41" fontId="8" fillId="0" borderId="1" xfId="0" applyNumberFormat="1" applyFont="1" applyBorder="1" applyAlignment="1">
      <alignment/>
    </xf>
    <xf numFmtId="39" fontId="9" fillId="0" borderId="0" xfId="0" applyFont="1" applyAlignment="1">
      <alignment/>
    </xf>
    <xf numFmtId="0" fontId="8" fillId="0" borderId="0" xfId="0" applyNumberFormat="1" applyFont="1" applyBorder="1" applyAlignment="1">
      <alignment/>
    </xf>
    <xf numFmtId="166" fontId="8" fillId="0" borderId="0" xfId="27" applyNumberFormat="1" applyFont="1" applyFill="1" applyAlignment="1">
      <alignment/>
    </xf>
    <xf numFmtId="166" fontId="8" fillId="0" borderId="0" xfId="27" applyNumberFormat="1" applyFont="1" applyFill="1" applyBorder="1" applyAlignment="1">
      <alignment/>
    </xf>
    <xf numFmtId="166" fontId="8" fillId="0" borderId="1" xfId="27" applyNumberFormat="1" applyFont="1" applyFill="1" applyBorder="1" applyAlignment="1">
      <alignment/>
    </xf>
    <xf numFmtId="39" fontId="7" fillId="0" borderId="0" xfId="0" applyFont="1" applyAlignment="1">
      <alignment horizontal="center"/>
    </xf>
    <xf numFmtId="39" fontId="10" fillId="0" borderId="0" xfId="0" applyFont="1" applyAlignment="1">
      <alignment horizontal="center"/>
    </xf>
    <xf numFmtId="0" fontId="9" fillId="0" borderId="0" xfId="0" applyNumberFormat="1" applyFont="1" applyAlignment="1">
      <alignment horizontal="center"/>
    </xf>
    <xf numFmtId="0" fontId="9" fillId="0" borderId="1" xfId="0" applyNumberFormat="1" applyFont="1" applyBorder="1" applyAlignment="1" quotePrefix="1">
      <alignment horizontal="center"/>
    </xf>
    <xf numFmtId="39" fontId="8" fillId="0" borderId="0" xfId="0" applyFont="1" applyAlignment="1">
      <alignment/>
    </xf>
    <xf numFmtId="39" fontId="8" fillId="0" borderId="0" xfId="0" applyFont="1" applyAlignment="1">
      <alignment horizontal="left" indent="1"/>
    </xf>
    <xf numFmtId="37" fontId="8" fillId="0" borderId="2" xfId="0" applyNumberFormat="1" applyFont="1" applyBorder="1" applyAlignment="1">
      <alignment/>
    </xf>
    <xf numFmtId="166" fontId="8" fillId="0" borderId="0" xfId="27" applyNumberFormat="1" applyFont="1" applyFill="1" applyAlignment="1">
      <alignment/>
    </xf>
    <xf numFmtId="166" fontId="8" fillId="0" borderId="1" xfId="27" applyNumberFormat="1" applyFont="1" applyFill="1" applyBorder="1" applyAlignment="1">
      <alignment/>
    </xf>
    <xf numFmtId="37" fontId="8" fillId="0" borderId="0" xfId="0" applyNumberFormat="1" applyFont="1" applyAlignment="1">
      <alignment/>
    </xf>
    <xf numFmtId="0" fontId="9" fillId="0" borderId="0" xfId="0" applyNumberFormat="1" applyFont="1" applyBorder="1" applyAlignment="1" quotePrefix="1">
      <alignment horizontal="center"/>
    </xf>
    <xf numFmtId="164" fontId="8" fillId="0" borderId="0" xfId="0" applyNumberFormat="1" applyFont="1" applyFill="1" applyAlignment="1">
      <alignment/>
    </xf>
    <xf numFmtId="42" fontId="8" fillId="0" borderId="0" xfId="17" applyNumberFormat="1" applyFont="1" applyAlignment="1">
      <alignment/>
    </xf>
    <xf numFmtId="167" fontId="8" fillId="0" borderId="0" xfId="17" applyNumberFormat="1" applyFont="1" applyFill="1" applyAlignment="1">
      <alignment/>
    </xf>
    <xf numFmtId="167" fontId="8" fillId="0" borderId="0" xfId="17" applyNumberFormat="1" applyFont="1" applyFill="1" applyBorder="1" applyAlignment="1">
      <alignment/>
    </xf>
    <xf numFmtId="39" fontId="9" fillId="0" borderId="0" xfId="0" applyFont="1" applyFill="1" applyAlignment="1">
      <alignment/>
    </xf>
    <xf numFmtId="167" fontId="9" fillId="0" borderId="0" xfId="17" applyNumberFormat="1" applyFont="1" applyFill="1" applyBorder="1" applyAlignment="1">
      <alignment/>
    </xf>
    <xf numFmtId="39" fontId="13" fillId="0" borderId="0" xfId="0" applyFont="1" applyAlignment="1">
      <alignment/>
    </xf>
    <xf numFmtId="39" fontId="14" fillId="0" borderId="0" xfId="0" applyFont="1" applyAlignment="1">
      <alignment/>
    </xf>
    <xf numFmtId="42" fontId="8" fillId="0" borderId="0" xfId="17" applyNumberFormat="1" applyFont="1" applyFill="1" applyAlignment="1">
      <alignment/>
    </xf>
    <xf numFmtId="168" fontId="8" fillId="0" borderId="0" xfId="15" applyNumberFormat="1" applyFont="1" applyFill="1" applyBorder="1" applyAlignment="1">
      <alignment/>
    </xf>
    <xf numFmtId="41" fontId="8" fillId="0" borderId="0" xfId="15" applyNumberFormat="1" applyFont="1" applyFill="1" applyBorder="1" applyAlignment="1">
      <alignment/>
    </xf>
    <xf numFmtId="37" fontId="8" fillId="0" borderId="0" xfId="0" applyNumberFormat="1" applyFont="1" applyFill="1" applyAlignment="1">
      <alignment/>
    </xf>
    <xf numFmtId="166" fontId="8" fillId="0" borderId="0" xfId="27" applyNumberFormat="1" applyFont="1" applyAlignment="1">
      <alignment/>
    </xf>
    <xf numFmtId="39" fontId="8" fillId="0" borderId="0" xfId="0" applyFont="1" applyFill="1" applyAlignment="1">
      <alignment/>
    </xf>
    <xf numFmtId="39" fontId="14" fillId="0" borderId="0" xfId="0" applyFont="1" applyBorder="1" applyAlignment="1">
      <alignment/>
    </xf>
    <xf numFmtId="37" fontId="9" fillId="0" borderId="0" xfId="0" applyNumberFormat="1" applyFont="1" applyAlignment="1">
      <alignment horizontal="center"/>
    </xf>
    <xf numFmtId="167" fontId="8" fillId="0" borderId="0" xfId="17" applyNumberFormat="1" applyFont="1" applyFill="1" applyAlignment="1">
      <alignment/>
    </xf>
    <xf numFmtId="41" fontId="8" fillId="0" borderId="0" xfId="23" applyNumberFormat="1" applyFont="1" applyFill="1" applyBorder="1" applyAlignment="1">
      <alignment/>
      <protection/>
    </xf>
    <xf numFmtId="37" fontId="8" fillId="0" borderId="0" xfId="15" applyNumberFormat="1" applyFont="1" applyFill="1" applyAlignment="1">
      <alignment/>
    </xf>
    <xf numFmtId="37" fontId="8" fillId="0" borderId="0" xfId="15" applyNumberFormat="1" applyFont="1" applyFill="1" applyAlignment="1">
      <alignment/>
    </xf>
    <xf numFmtId="0" fontId="8" fillId="0" borderId="0" xfId="0" applyNumberFormat="1" applyFont="1" applyBorder="1" applyAlignment="1">
      <alignment wrapText="1"/>
    </xf>
    <xf numFmtId="166" fontId="8" fillId="0" borderId="0" xfId="17" applyNumberFormat="1" applyFont="1" applyFill="1" applyBorder="1" applyAlignment="1">
      <alignment/>
    </xf>
    <xf numFmtId="166" fontId="8" fillId="0" borderId="0" xfId="17" applyNumberFormat="1" applyFont="1" applyFill="1" applyBorder="1" applyAlignment="1">
      <alignment/>
    </xf>
    <xf numFmtId="39" fontId="15" fillId="0" borderId="0" xfId="0" applyFont="1" applyAlignment="1">
      <alignment/>
    </xf>
    <xf numFmtId="41" fontId="8" fillId="0" borderId="0" xfId="0" applyNumberFormat="1" applyFont="1" applyFill="1" applyBorder="1" applyAlignment="1">
      <alignment/>
    </xf>
    <xf numFmtId="39" fontId="9" fillId="0" borderId="0" xfId="0" applyFont="1" applyAlignment="1">
      <alignment/>
    </xf>
    <xf numFmtId="39" fontId="12" fillId="0" borderId="0" xfId="0" applyFont="1" applyAlignment="1">
      <alignment horizontal="left" indent="2"/>
    </xf>
    <xf numFmtId="166" fontId="8" fillId="0" borderId="0" xfId="27" applyNumberFormat="1" applyFont="1" applyFill="1" applyBorder="1" applyAlignment="1">
      <alignment/>
    </xf>
    <xf numFmtId="49" fontId="13" fillId="0" borderId="0" xfId="0" applyNumberFormat="1" applyFont="1" applyAlignment="1">
      <alignment horizontal="left"/>
    </xf>
    <xf numFmtId="42" fontId="8" fillId="0" borderId="0" xfId="17" applyNumberFormat="1" applyFont="1" applyFill="1" applyAlignment="1">
      <alignment/>
    </xf>
    <xf numFmtId="42" fontId="8" fillId="0" borderId="0" xfId="17" applyNumberFormat="1" applyFont="1" applyFill="1" applyBorder="1" applyAlignment="1">
      <alignment/>
    </xf>
    <xf numFmtId="39" fontId="9" fillId="0" borderId="1" xfId="0" applyFont="1" applyFill="1" applyBorder="1" applyAlignment="1">
      <alignment horizontal="center"/>
    </xf>
    <xf numFmtId="39" fontId="8" fillId="0" borderId="0" xfId="0" applyFont="1" applyBorder="1" applyAlignment="1">
      <alignment/>
    </xf>
    <xf numFmtId="39" fontId="8" fillId="0" borderId="0" xfId="0" applyFont="1" applyFill="1" applyAlignment="1">
      <alignment/>
    </xf>
    <xf numFmtId="168" fontId="8" fillId="0" borderId="0" xfId="15" applyNumberFormat="1" applyFont="1" applyFill="1" applyAlignment="1">
      <alignment/>
    </xf>
    <xf numFmtId="39" fontId="9" fillId="0" borderId="2" xfId="0" applyFont="1" applyBorder="1" applyAlignment="1">
      <alignment/>
    </xf>
    <xf numFmtId="39" fontId="9" fillId="0" borderId="0" xfId="0" applyFont="1" applyBorder="1" applyAlignment="1">
      <alignment/>
    </xf>
    <xf numFmtId="39" fontId="15" fillId="0" borderId="0" xfId="0" applyFont="1" applyAlignment="1">
      <alignment/>
    </xf>
    <xf numFmtId="39" fontId="8" fillId="0" borderId="2" xfId="0" applyFont="1" applyBorder="1" applyAlignment="1">
      <alignment/>
    </xf>
    <xf numFmtId="0" fontId="8" fillId="0" borderId="0" xfId="0" applyNumberFormat="1" applyFont="1" applyAlignment="1" applyProtection="1">
      <alignment/>
      <protection/>
    </xf>
    <xf numFmtId="0" fontId="14" fillId="0" borderId="0" xfId="0" applyNumberFormat="1" applyFont="1" applyAlignment="1" applyProtection="1">
      <alignment/>
      <protection/>
    </xf>
    <xf numFmtId="0" fontId="14" fillId="0" borderId="0" xfId="0" applyNumberFormat="1" applyFont="1" applyBorder="1" applyAlignment="1" applyProtection="1">
      <alignment/>
      <protection/>
    </xf>
    <xf numFmtId="39" fontId="15" fillId="0" borderId="0" xfId="0" applyFont="1" applyAlignment="1">
      <alignment wrapText="1"/>
    </xf>
    <xf numFmtId="39" fontId="9" fillId="0" borderId="0" xfId="0" applyFont="1" applyFill="1" applyBorder="1" applyAlignment="1">
      <alignment/>
    </xf>
    <xf numFmtId="0" fontId="7" fillId="0" borderId="0" xfId="23" applyNumberFormat="1" applyFont="1" applyFill="1" applyAlignment="1">
      <alignment horizontal="centerContinuous" vertical="center"/>
      <protection/>
    </xf>
    <xf numFmtId="0" fontId="10" fillId="0" borderId="0" xfId="23" applyNumberFormat="1" applyFont="1" applyFill="1" applyAlignment="1">
      <alignment horizontal="centerContinuous" vertical="center"/>
      <protection/>
    </xf>
    <xf numFmtId="39" fontId="8" fillId="0" borderId="0" xfId="0" applyFont="1" applyFill="1" applyBorder="1" applyAlignment="1">
      <alignment/>
    </xf>
    <xf numFmtId="39" fontId="8" fillId="0" borderId="0" xfId="0" applyFont="1" applyAlignment="1">
      <alignment wrapText="1"/>
    </xf>
    <xf numFmtId="39" fontId="8" fillId="0" borderId="0" xfId="0" applyFont="1" applyAlignment="1">
      <alignment horizontal="left"/>
    </xf>
    <xf numFmtId="39" fontId="8" fillId="0" borderId="0" xfId="0" applyFont="1" applyAlignment="1">
      <alignment horizontal="left" wrapText="1"/>
    </xf>
    <xf numFmtId="39" fontId="8" fillId="0" borderId="1" xfId="0" applyFont="1" applyBorder="1" applyAlignment="1">
      <alignment/>
    </xf>
    <xf numFmtId="39" fontId="9" fillId="0" borderId="0" xfId="0" applyFont="1" applyAlignment="1">
      <alignment horizontal="left"/>
    </xf>
    <xf numFmtId="0" fontId="8" fillId="0" borderId="0" xfId="0" applyNumberFormat="1" applyFont="1" applyBorder="1" applyAlignment="1" applyProtection="1">
      <alignment/>
      <protection/>
    </xf>
    <xf numFmtId="174" fontId="9" fillId="0" borderId="1" xfId="0" applyNumberFormat="1" applyFont="1" applyBorder="1" applyAlignment="1">
      <alignment horizontal="center"/>
    </xf>
    <xf numFmtId="39" fontId="21" fillId="0" borderId="0" xfId="0" applyFont="1" applyBorder="1" applyAlignment="1">
      <alignment/>
    </xf>
    <xf numFmtId="39" fontId="8" fillId="0" borderId="0" xfId="0" applyFont="1" applyFill="1" applyBorder="1" applyAlignment="1">
      <alignment horizontal="left" indent="1"/>
    </xf>
    <xf numFmtId="37" fontId="8" fillId="0" borderId="0" xfId="0" applyNumberFormat="1" applyFont="1" applyFill="1" applyBorder="1" applyAlignment="1">
      <alignment/>
    </xf>
    <xf numFmtId="39" fontId="8" fillId="0" borderId="0" xfId="0" applyFont="1" applyAlignment="1">
      <alignment horizontal="right"/>
    </xf>
    <xf numFmtId="39" fontId="8" fillId="0" borderId="0" xfId="0" applyFont="1" applyAlignment="1">
      <alignment horizontal="centerContinuous"/>
    </xf>
    <xf numFmtId="39" fontId="7" fillId="0" borderId="0" xfId="0" applyFont="1" applyAlignment="1">
      <alignment horizontal="centerContinuous"/>
    </xf>
    <xf numFmtId="39" fontId="9" fillId="0" borderId="0" xfId="0" applyFont="1" applyAlignment="1">
      <alignment horizontal="centerContinuous"/>
    </xf>
    <xf numFmtId="39" fontId="10" fillId="0" borderId="0" xfId="0" applyFont="1" applyAlignment="1">
      <alignment horizontal="centerContinuous"/>
    </xf>
    <xf numFmtId="39" fontId="8" fillId="0" borderId="0" xfId="0" applyFont="1" applyFill="1" applyAlignment="1">
      <alignment wrapText="1"/>
    </xf>
    <xf numFmtId="39" fontId="8" fillId="0" borderId="0" xfId="0" applyFont="1" applyAlignment="1">
      <alignment horizontal="left" vertical="top" wrapText="1" indent="1"/>
    </xf>
    <xf numFmtId="39" fontId="7" fillId="0" borderId="0" xfId="0" applyFont="1" applyAlignment="1">
      <alignment/>
    </xf>
    <xf numFmtId="37" fontId="8" fillId="0" borderId="0" xfId="0" applyNumberFormat="1" applyFont="1" applyFill="1" applyBorder="1" applyAlignment="1">
      <alignment horizontal="right"/>
    </xf>
    <xf numFmtId="37" fontId="8" fillId="0" borderId="0" xfId="0" applyNumberFormat="1" applyFont="1" applyFill="1" applyBorder="1" applyAlignment="1">
      <alignment horizontal="left"/>
    </xf>
    <xf numFmtId="39" fontId="8" fillId="0" borderId="0" xfId="0" applyFont="1" applyAlignment="1">
      <alignment vertical="top"/>
    </xf>
    <xf numFmtId="39" fontId="8" fillId="0" borderId="0" xfId="0" applyFont="1" applyBorder="1" applyAlignment="1">
      <alignment vertical="top"/>
    </xf>
    <xf numFmtId="37" fontId="8" fillId="0" borderId="0" xfId="0" applyNumberFormat="1" applyFont="1" applyFill="1" applyBorder="1" applyAlignment="1">
      <alignment horizontal="right" vertical="top"/>
    </xf>
    <xf numFmtId="39" fontId="8" fillId="0" borderId="0" xfId="0" applyFont="1" applyAlignment="1">
      <alignment horizontal="center" wrapText="1"/>
    </xf>
    <xf numFmtId="39" fontId="13" fillId="0" borderId="0" xfId="0" applyFont="1" applyAlignment="1">
      <alignment/>
    </xf>
    <xf numFmtId="39" fontId="9" fillId="0" borderId="1" xfId="0" applyFont="1" applyBorder="1" applyAlignment="1">
      <alignment horizontal="centerContinuous"/>
    </xf>
    <xf numFmtId="39" fontId="8" fillId="0" borderId="0" xfId="0" applyFont="1" applyBorder="1" applyAlignment="1">
      <alignment wrapText="1"/>
    </xf>
    <xf numFmtId="0" fontId="10" fillId="0" borderId="0" xfId="0" applyNumberFormat="1" applyFont="1" applyBorder="1" applyAlignment="1" applyProtection="1">
      <alignment horizontal="center"/>
      <protection/>
    </xf>
    <xf numFmtId="167" fontId="8" fillId="0" borderId="0" xfId="0" applyNumberFormat="1" applyFont="1" applyFill="1" applyAlignment="1" applyProtection="1">
      <alignment/>
      <protection/>
    </xf>
    <xf numFmtId="41" fontId="8" fillId="0" borderId="0" xfId="0" applyNumberFormat="1" applyFont="1" applyFill="1" applyBorder="1" applyAlignment="1" applyProtection="1">
      <alignment/>
      <protection/>
    </xf>
    <xf numFmtId="167" fontId="8" fillId="0" borderId="0" xfId="0" applyNumberFormat="1" applyFont="1" applyFill="1" applyBorder="1" applyAlignment="1" applyProtection="1">
      <alignment/>
      <protection/>
    </xf>
    <xf numFmtId="44" fontId="8" fillId="0" borderId="0" xfId="17" applyFont="1" applyAlignment="1" applyProtection="1">
      <alignment/>
      <protection/>
    </xf>
    <xf numFmtId="44" fontId="8" fillId="0" borderId="0" xfId="17" applyFont="1" applyFill="1" applyAlignment="1" applyProtection="1">
      <alignment/>
      <protection/>
    </xf>
    <xf numFmtId="0" fontId="8" fillId="0" borderId="0" xfId="23" applyFont="1" applyAlignment="1">
      <alignment/>
      <protection/>
    </xf>
    <xf numFmtId="0" fontId="9" fillId="0" borderId="0" xfId="23" applyNumberFormat="1" applyFont="1" applyAlignment="1">
      <alignment/>
      <protection/>
    </xf>
    <xf numFmtId="0" fontId="9" fillId="0" borderId="0" xfId="25" applyFont="1" applyAlignment="1" applyProtection="1">
      <alignment horizontal="center"/>
      <protection/>
    </xf>
    <xf numFmtId="0" fontId="9" fillId="0" borderId="0" xfId="23" applyNumberFormat="1" applyFont="1" applyBorder="1" applyAlignment="1">
      <alignment/>
      <protection/>
    </xf>
    <xf numFmtId="0" fontId="9" fillId="0" borderId="1" xfId="24" applyNumberFormat="1" applyFont="1" applyBorder="1" applyAlignment="1" applyProtection="1">
      <alignment horizontal="center"/>
      <protection/>
    </xf>
    <xf numFmtId="41" fontId="8" fillId="0" borderId="0" xfId="23" applyNumberFormat="1" applyFont="1" applyBorder="1" applyAlignment="1">
      <alignment/>
      <protection/>
    </xf>
    <xf numFmtId="0" fontId="8" fillId="0" borderId="0" xfId="23" applyNumberFormat="1" applyFont="1" applyAlignment="1">
      <alignment/>
      <protection/>
    </xf>
    <xf numFmtId="0" fontId="8" fillId="0" borderId="0" xfId="23" applyNumberFormat="1" applyFont="1" applyBorder="1" applyAlignment="1">
      <alignment/>
      <protection/>
    </xf>
    <xf numFmtId="0" fontId="8" fillId="0" borderId="0" xfId="23" applyNumberFormat="1" applyFont="1" applyBorder="1" applyAlignment="1">
      <alignment wrapText="1"/>
      <protection/>
    </xf>
    <xf numFmtId="0" fontId="8" fillId="0" borderId="0" xfId="23" applyNumberFormat="1" applyFont="1" applyFill="1" applyBorder="1" applyAlignment="1">
      <alignment/>
      <protection/>
    </xf>
    <xf numFmtId="0" fontId="23" fillId="0" borderId="0" xfId="23" applyNumberFormat="1" applyFont="1" applyFill="1" applyBorder="1" applyAlignment="1">
      <alignment/>
      <protection/>
    </xf>
    <xf numFmtId="44" fontId="8" fillId="0" borderId="0" xfId="23" applyNumberFormat="1" applyFont="1" applyFill="1" applyBorder="1" applyAlignment="1">
      <alignment/>
      <protection/>
    </xf>
    <xf numFmtId="43" fontId="8" fillId="0" borderId="0" xfId="15" applyFont="1" applyFill="1" applyBorder="1" applyAlignment="1">
      <alignment/>
    </xf>
    <xf numFmtId="0" fontId="9" fillId="0" borderId="0" xfId="0" applyNumberFormat="1" applyFont="1" applyBorder="1" applyAlignment="1">
      <alignment horizontal="center"/>
    </xf>
    <xf numFmtId="0" fontId="9" fillId="0" borderId="1" xfId="25" applyFont="1" applyBorder="1" applyAlignment="1" applyProtection="1">
      <alignment horizontal="center"/>
      <protection/>
    </xf>
    <xf numFmtId="0" fontId="9" fillId="0" borderId="0" xfId="25" applyFont="1" applyBorder="1" applyAlignment="1" applyProtection="1">
      <alignment horizontal="center"/>
      <protection/>
    </xf>
    <xf numFmtId="0" fontId="12" fillId="0" borderId="0" xfId="0" applyNumberFormat="1" applyFont="1" applyBorder="1" applyAlignment="1">
      <alignment/>
    </xf>
    <xf numFmtId="0" fontId="8" fillId="0" borderId="0" xfId="0" applyNumberFormat="1" applyFont="1" applyBorder="1" applyAlignment="1">
      <alignment horizontal="center"/>
    </xf>
    <xf numFmtId="9" fontId="8" fillId="0" borderId="0" xfId="27" applyFont="1" applyFill="1" applyAlignment="1">
      <alignment/>
    </xf>
    <xf numFmtId="9" fontId="8" fillId="0" borderId="1" xfId="27" applyFont="1" applyFill="1" applyBorder="1" applyAlignment="1">
      <alignment/>
    </xf>
    <xf numFmtId="167" fontId="8" fillId="0" borderId="0" xfId="17" applyNumberFormat="1" applyFont="1" applyAlignment="1">
      <alignment horizontal="center"/>
    </xf>
    <xf numFmtId="167" fontId="8" fillId="0" borderId="0" xfId="17" applyNumberFormat="1" applyFont="1" applyFill="1" applyAlignment="1">
      <alignment horizontal="center"/>
    </xf>
    <xf numFmtId="41" fontId="8" fillId="0" borderId="0" xfId="0" applyNumberFormat="1" applyFont="1" applyAlignment="1">
      <alignment horizontal="center"/>
    </xf>
    <xf numFmtId="41" fontId="8" fillId="0" borderId="0" xfId="0" applyNumberFormat="1" applyFont="1" applyFill="1" applyAlignment="1">
      <alignment horizontal="center"/>
    </xf>
    <xf numFmtId="44" fontId="8" fillId="0" borderId="0" xfId="17" applyFont="1" applyFill="1" applyAlignment="1">
      <alignment/>
    </xf>
    <xf numFmtId="37" fontId="8" fillId="0" borderId="0" xfId="0" applyNumberFormat="1" applyFont="1" applyAlignment="1">
      <alignment horizontal="right"/>
    </xf>
    <xf numFmtId="175" fontId="8" fillId="0" borderId="0" xfId="0" applyNumberFormat="1" applyFont="1" applyAlignment="1">
      <alignment/>
    </xf>
    <xf numFmtId="39" fontId="24" fillId="0" borderId="0" xfId="20" applyFont="1" applyAlignment="1" quotePrefix="1">
      <alignment/>
    </xf>
    <xf numFmtId="39" fontId="24" fillId="0" borderId="0" xfId="20" applyFont="1" applyAlignment="1" quotePrefix="1">
      <alignment wrapText="1"/>
    </xf>
    <xf numFmtId="39" fontId="24" fillId="0" borderId="0" xfId="20" applyFont="1" applyFill="1" applyAlignment="1" quotePrefix="1">
      <alignment/>
    </xf>
    <xf numFmtId="39" fontId="25" fillId="0" borderId="0" xfId="20" applyFont="1" applyFill="1" applyAlignment="1" quotePrefix="1">
      <alignment/>
    </xf>
    <xf numFmtId="39" fontId="25" fillId="0" borderId="0" xfId="20" applyFont="1" applyFill="1" applyBorder="1" applyAlignment="1" quotePrefix="1">
      <alignment/>
    </xf>
    <xf numFmtId="39" fontId="15" fillId="0" borderId="0" xfId="0" applyFont="1" applyAlignment="1">
      <alignment horizontal="center"/>
    </xf>
    <xf numFmtId="39" fontId="8" fillId="0" borderId="0" xfId="0" applyFont="1" applyFill="1" applyBorder="1" applyAlignment="1">
      <alignment/>
    </xf>
    <xf numFmtId="39" fontId="15" fillId="0" borderId="0" xfId="0" applyFont="1" applyAlignment="1">
      <alignment horizontal="centerContinuous"/>
    </xf>
    <xf numFmtId="39" fontId="14" fillId="0" borderId="0" xfId="0" applyFont="1" applyAlignment="1">
      <alignment/>
    </xf>
    <xf numFmtId="39" fontId="26" fillId="0" borderId="0" xfId="0" applyFont="1" applyAlignment="1">
      <alignment/>
    </xf>
    <xf numFmtId="39" fontId="15" fillId="0" borderId="0" xfId="0" applyFont="1" applyFill="1" applyAlignment="1">
      <alignment/>
    </xf>
    <xf numFmtId="39" fontId="15" fillId="2" borderId="0" xfId="0" applyFont="1" applyFill="1" applyAlignment="1">
      <alignment/>
    </xf>
    <xf numFmtId="39" fontId="7" fillId="2" borderId="0" xfId="0" applyFont="1" applyFill="1" applyAlignment="1" quotePrefix="1">
      <alignment/>
    </xf>
    <xf numFmtId="39" fontId="27" fillId="2" borderId="0" xfId="0" applyFont="1" applyFill="1" applyAlignment="1">
      <alignment/>
    </xf>
    <xf numFmtId="172" fontId="15" fillId="0" borderId="0" xfId="0" applyNumberFormat="1" applyFont="1" applyAlignment="1">
      <alignment/>
    </xf>
    <xf numFmtId="39" fontId="16" fillId="0" borderId="0" xfId="0" applyFont="1" applyFill="1" applyAlignment="1" quotePrefix="1">
      <alignment/>
    </xf>
    <xf numFmtId="39" fontId="28" fillId="0" borderId="0" xfId="0" applyFont="1" applyAlignment="1">
      <alignment/>
    </xf>
    <xf numFmtId="39" fontId="15" fillId="0" borderId="0" xfId="0" applyFont="1" applyAlignment="1">
      <alignment vertical="top"/>
    </xf>
    <xf numFmtId="39" fontId="8" fillId="0" borderId="0" xfId="0" applyFont="1" applyAlignment="1">
      <alignment shrinkToFit="1"/>
    </xf>
    <xf numFmtId="39" fontId="15" fillId="0" borderId="0" xfId="0" applyFont="1" applyAlignment="1">
      <alignment horizontal="justify"/>
    </xf>
    <xf numFmtId="39" fontId="13" fillId="0" borderId="0" xfId="0" applyFont="1" applyAlignment="1">
      <alignment shrinkToFit="1"/>
    </xf>
    <xf numFmtId="0" fontId="9" fillId="0" borderId="0" xfId="24" applyNumberFormat="1" applyFont="1" applyBorder="1" applyAlignment="1" applyProtection="1">
      <alignment horizontal="centerContinuous"/>
      <protection/>
    </xf>
    <xf numFmtId="39" fontId="8" fillId="0" borderId="0" xfId="0" applyFont="1" applyFill="1" applyBorder="1" applyAlignment="1">
      <alignment horizontal="left" vertical="top" wrapText="1"/>
    </xf>
    <xf numFmtId="39" fontId="0" fillId="0" borderId="0" xfId="0" applyAlignment="1">
      <alignment/>
    </xf>
    <xf numFmtId="39" fontId="0" fillId="0" borderId="0" xfId="0" applyBorder="1" applyAlignment="1">
      <alignment/>
    </xf>
    <xf numFmtId="0" fontId="30" fillId="0" borderId="0" xfId="0" applyNumberFormat="1" applyFont="1" applyAlignment="1" applyProtection="1">
      <alignment/>
      <protection/>
    </xf>
    <xf numFmtId="167" fontId="9" fillId="0" borderId="3" xfId="17" applyNumberFormat="1" applyFont="1" applyFill="1" applyBorder="1" applyAlignment="1">
      <alignment/>
    </xf>
    <xf numFmtId="39" fontId="9" fillId="0" borderId="0" xfId="0" applyFont="1" applyFill="1" applyBorder="1" applyAlignment="1">
      <alignment horizontal="center" vertical="center" wrapText="1"/>
    </xf>
    <xf numFmtId="37" fontId="9" fillId="0" borderId="0" xfId="0" applyNumberFormat="1" applyFont="1" applyBorder="1" applyAlignment="1">
      <alignment horizontal="center"/>
    </xf>
    <xf numFmtId="0" fontId="9" fillId="0" borderId="0" xfId="0" applyNumberFormat="1" applyFont="1" applyBorder="1" applyAlignment="1" applyProtection="1">
      <alignment horizontal="center"/>
      <protection/>
    </xf>
    <xf numFmtId="0" fontId="22" fillId="0" borderId="2" xfId="0" applyNumberFormat="1" applyFont="1" applyBorder="1" applyAlignment="1" applyProtection="1">
      <alignment horizontal="center"/>
      <protection/>
    </xf>
    <xf numFmtId="17" fontId="9" fillId="0" borderId="0" xfId="0" applyNumberFormat="1" applyFont="1" applyBorder="1" applyAlignment="1" quotePrefix="1">
      <alignment horizontal="center"/>
    </xf>
    <xf numFmtId="0" fontId="9" fillId="0" borderId="2" xfId="0" applyNumberFormat="1" applyFont="1" applyBorder="1" applyAlignment="1">
      <alignment horizontal="center"/>
    </xf>
    <xf numFmtId="41" fontId="8" fillId="0" borderId="0" xfId="17" applyNumberFormat="1" applyFont="1" applyAlignment="1">
      <alignment/>
    </xf>
    <xf numFmtId="41" fontId="8" fillId="0" borderId="0" xfId="17" applyNumberFormat="1" applyFont="1" applyFill="1" applyAlignment="1">
      <alignment/>
    </xf>
    <xf numFmtId="41" fontId="8" fillId="0" borderId="0" xfId="17" applyNumberFormat="1" applyFont="1" applyFill="1" applyBorder="1" applyAlignment="1">
      <alignment/>
    </xf>
    <xf numFmtId="39" fontId="32" fillId="0" borderId="0" xfId="20" applyFont="1" applyAlignment="1">
      <alignment/>
    </xf>
    <xf numFmtId="39" fontId="14" fillId="0" borderId="0" xfId="0" applyFont="1" applyBorder="1" applyAlignment="1">
      <alignment horizontal="right"/>
    </xf>
    <xf numFmtId="39" fontId="8" fillId="0" borderId="0" xfId="0" applyFont="1" applyAlignment="1">
      <alignment/>
    </xf>
    <xf numFmtId="0" fontId="8" fillId="0" borderId="0" xfId="0" applyNumberFormat="1" applyFont="1" applyBorder="1" applyAlignment="1">
      <alignment/>
    </xf>
    <xf numFmtId="0" fontId="8" fillId="0" borderId="0" xfId="0" applyNumberFormat="1" applyFont="1" applyBorder="1" applyAlignment="1">
      <alignment horizontal="right"/>
    </xf>
    <xf numFmtId="42" fontId="8" fillId="0" borderId="0" xfId="0" applyNumberFormat="1" applyFont="1" applyBorder="1" applyAlignment="1">
      <alignment/>
    </xf>
    <xf numFmtId="9" fontId="8" fillId="0" borderId="0" xfId="27" applyFont="1" applyFill="1" applyAlignment="1">
      <alignment/>
    </xf>
    <xf numFmtId="41" fontId="8" fillId="0" borderId="0" xfId="0" applyNumberFormat="1" applyFont="1" applyBorder="1" applyAlignment="1">
      <alignment/>
    </xf>
    <xf numFmtId="168" fontId="8" fillId="0" borderId="0" xfId="15" applyNumberFormat="1" applyFont="1" applyBorder="1" applyAlignment="1">
      <alignment/>
    </xf>
    <xf numFmtId="39" fontId="9" fillId="0" borderId="0" xfId="0" applyFont="1" applyAlignment="1">
      <alignment/>
    </xf>
    <xf numFmtId="166" fontId="8" fillId="0" borderId="3" xfId="27" applyNumberFormat="1" applyFont="1" applyFill="1" applyBorder="1" applyAlignment="1">
      <alignment/>
    </xf>
    <xf numFmtId="39" fontId="8" fillId="0" borderId="0" xfId="0" applyFont="1" applyBorder="1" applyAlignment="1">
      <alignment/>
    </xf>
    <xf numFmtId="166" fontId="8" fillId="0" borderId="3" xfId="27" applyNumberFormat="1" applyFont="1" applyFill="1" applyBorder="1" applyAlignment="1">
      <alignment/>
    </xf>
    <xf numFmtId="39" fontId="11" fillId="0" borderId="0" xfId="0" applyFont="1" applyAlignment="1">
      <alignment/>
    </xf>
    <xf numFmtId="39" fontId="11" fillId="0" borderId="0" xfId="0" applyFont="1" applyAlignment="1">
      <alignment/>
    </xf>
    <xf numFmtId="39" fontId="8" fillId="0" borderId="0" xfId="0" applyFont="1" applyAlignment="1">
      <alignment horizontal="left" indent="1"/>
    </xf>
    <xf numFmtId="0" fontId="33" fillId="0" borderId="0" xfId="0" applyNumberFormat="1" applyFont="1" applyBorder="1" applyAlignment="1">
      <alignment horizontal="left" wrapText="1" indent="2"/>
    </xf>
    <xf numFmtId="0" fontId="33" fillId="0" borderId="0" xfId="23" applyNumberFormat="1" applyFont="1" applyFill="1" applyAlignment="1">
      <alignment/>
      <protection/>
    </xf>
    <xf numFmtId="9" fontId="33" fillId="0" borderId="0" xfId="27" applyFont="1" applyFill="1" applyBorder="1" applyAlignment="1">
      <alignment/>
    </xf>
    <xf numFmtId="39" fontId="33" fillId="0" borderId="0" xfId="0" applyFont="1" applyAlignment="1">
      <alignment horizontal="left" indent="1"/>
    </xf>
    <xf numFmtId="166" fontId="8" fillId="0" borderId="3" xfId="27" applyNumberFormat="1" applyFont="1" applyFill="1" applyBorder="1" applyAlignment="1">
      <alignment/>
    </xf>
    <xf numFmtId="42" fontId="8" fillId="0" borderId="3" xfId="0" applyNumberFormat="1" applyFont="1" applyBorder="1" applyAlignment="1">
      <alignment/>
    </xf>
    <xf numFmtId="15" fontId="9" fillId="0" borderId="0" xfId="0" applyNumberFormat="1" applyFont="1" applyAlignment="1" applyProtection="1" quotePrefix="1">
      <alignment horizontal="left"/>
      <protection/>
    </xf>
    <xf numFmtId="39" fontId="9" fillId="0" borderId="0" xfId="0" applyFont="1" applyBorder="1" applyAlignment="1">
      <alignment/>
    </xf>
    <xf numFmtId="167" fontId="8" fillId="0" borderId="3" xfId="17" applyNumberFormat="1" applyFont="1" applyFill="1" applyBorder="1" applyAlignment="1">
      <alignment/>
    </xf>
    <xf numFmtId="39" fontId="9" fillId="0" borderId="0" xfId="0" applyFont="1" applyAlignment="1">
      <alignment horizontal="left"/>
    </xf>
    <xf numFmtId="0" fontId="9" fillId="0" borderId="1" xfId="0" applyNumberFormat="1" applyFont="1" applyBorder="1" applyAlignment="1" quotePrefix="1">
      <alignment horizontal="center" wrapText="1"/>
    </xf>
    <xf numFmtId="39" fontId="9" fillId="0" borderId="0" xfId="0" applyFont="1" applyAlignment="1" quotePrefix="1">
      <alignment horizontal="center"/>
    </xf>
    <xf numFmtId="39" fontId="11" fillId="0" borderId="0" xfId="0" applyFont="1" applyAlignment="1">
      <alignment horizontal="left"/>
    </xf>
    <xf numFmtId="37" fontId="8" fillId="0" borderId="0" xfId="0" applyNumberFormat="1" applyFont="1" applyBorder="1" applyAlignment="1">
      <alignment/>
    </xf>
    <xf numFmtId="9" fontId="8" fillId="0" borderId="0" xfId="27" applyFont="1" applyFill="1" applyAlignment="1">
      <alignment horizontal="right"/>
    </xf>
    <xf numFmtId="0" fontId="8" fillId="0" borderId="0" xfId="0" applyNumberFormat="1" applyFont="1" applyBorder="1" applyAlignment="1">
      <alignment wrapText="1"/>
    </xf>
    <xf numFmtId="41" fontId="8" fillId="0" borderId="0" xfId="0" applyNumberFormat="1" applyFont="1" applyFill="1" applyBorder="1" applyAlignment="1">
      <alignment/>
    </xf>
    <xf numFmtId="9" fontId="8" fillId="0" borderId="3" xfId="27" applyFont="1" applyFill="1" applyBorder="1" applyAlignment="1">
      <alignment/>
    </xf>
    <xf numFmtId="39" fontId="8" fillId="0" borderId="0" xfId="0" applyFont="1" applyAlignment="1">
      <alignment/>
    </xf>
    <xf numFmtId="0" fontId="9" fillId="0" borderId="0" xfId="23" applyNumberFormat="1" applyFont="1" applyBorder="1" applyAlignment="1">
      <alignment/>
      <protection/>
    </xf>
    <xf numFmtId="0" fontId="8" fillId="0" borderId="0" xfId="23" applyNumberFormat="1" applyFont="1" applyBorder="1" applyAlignment="1">
      <alignment/>
      <protection/>
    </xf>
    <xf numFmtId="0" fontId="33" fillId="0" borderId="0" xfId="0" applyNumberFormat="1" applyFont="1" applyBorder="1" applyAlignment="1">
      <alignment horizontal="left" wrapText="1"/>
    </xf>
    <xf numFmtId="39" fontId="9" fillId="0" borderId="0" xfId="0" applyFont="1" applyAlignment="1">
      <alignment/>
    </xf>
    <xf numFmtId="164" fontId="8" fillId="0" borderId="0" xfId="0" applyNumberFormat="1" applyFont="1" applyBorder="1" applyAlignment="1">
      <alignment/>
    </xf>
    <xf numFmtId="167" fontId="8" fillId="0" borderId="0" xfId="17" applyNumberFormat="1" applyFont="1" applyBorder="1" applyAlignment="1">
      <alignment/>
    </xf>
    <xf numFmtId="9" fontId="8" fillId="0" borderId="0" xfId="27" applyFont="1" applyAlignment="1">
      <alignment/>
    </xf>
    <xf numFmtId="41" fontId="8" fillId="0" borderId="0" xfId="23" applyNumberFormat="1" applyFont="1" applyFill="1" applyBorder="1" applyAlignment="1">
      <alignment/>
      <protection/>
    </xf>
    <xf numFmtId="167" fontId="8" fillId="0" borderId="3" xfId="17" applyNumberFormat="1" applyFont="1" applyFill="1" applyBorder="1" applyAlignment="1">
      <alignment/>
    </xf>
    <xf numFmtId="167" fontId="8" fillId="0" borderId="0" xfId="17" applyNumberFormat="1" applyFont="1" applyFill="1" applyBorder="1" applyAlignment="1">
      <alignment/>
    </xf>
    <xf numFmtId="167" fontId="8" fillId="0" borderId="0" xfId="17" applyNumberFormat="1" applyFont="1" applyFill="1" applyBorder="1" applyAlignment="1">
      <alignment/>
    </xf>
    <xf numFmtId="0" fontId="20" fillId="0" borderId="0" xfId="0" applyNumberFormat="1" applyFont="1" applyAlignment="1" applyProtection="1">
      <alignment/>
      <protection/>
    </xf>
    <xf numFmtId="0" fontId="20" fillId="0" borderId="0" xfId="0" applyNumberFormat="1" applyFont="1" applyAlignment="1" applyProtection="1" quotePrefix="1">
      <alignment vertical="top"/>
      <protection/>
    </xf>
    <xf numFmtId="39" fontId="31" fillId="0" borderId="0" xfId="0" applyFont="1" applyAlignment="1">
      <alignment horizontal="left" vertical="top" wrapText="1"/>
    </xf>
    <xf numFmtId="168" fontId="8" fillId="0" borderId="0" xfId="15" applyNumberFormat="1" applyFont="1" applyFill="1" applyBorder="1" applyAlignment="1">
      <alignment/>
    </xf>
    <xf numFmtId="39" fontId="8" fillId="0" borderId="0" xfId="0" applyFont="1" applyBorder="1" applyAlignment="1">
      <alignment horizontal="left"/>
    </xf>
    <xf numFmtId="39" fontId="8" fillId="0" borderId="0" xfId="0" applyFont="1" applyBorder="1" applyAlignment="1">
      <alignment/>
    </xf>
    <xf numFmtId="169" fontId="9" fillId="0" borderId="0" xfId="0" applyNumberFormat="1" applyFont="1" applyBorder="1" applyAlignment="1" quotePrefix="1">
      <alignment horizontal="center"/>
    </xf>
    <xf numFmtId="4" fontId="9" fillId="0" borderId="0" xfId="0" applyNumberFormat="1" applyFont="1" applyAlignment="1" applyProtection="1">
      <alignment/>
      <protection/>
    </xf>
    <xf numFmtId="37" fontId="11" fillId="0" borderId="0" xfId="0" applyNumberFormat="1" applyFont="1" applyFill="1" applyBorder="1" applyAlignment="1">
      <alignment horizontal="left"/>
    </xf>
    <xf numFmtId="168" fontId="8" fillId="0" borderId="0" xfId="15" applyNumberFormat="1" applyFont="1" applyFill="1" applyAlignment="1">
      <alignment/>
    </xf>
    <xf numFmtId="39" fontId="8" fillId="0" borderId="0" xfId="0" applyFont="1" applyBorder="1" applyAlignment="1">
      <alignment vertical="top"/>
    </xf>
    <xf numFmtId="39" fontId="9" fillId="0" borderId="0" xfId="0" applyFont="1" applyFill="1" applyAlignment="1">
      <alignment/>
    </xf>
    <xf numFmtId="37" fontId="8" fillId="0" borderId="1" xfId="0" applyNumberFormat="1" applyFont="1" applyFill="1" applyBorder="1" applyAlignment="1">
      <alignment/>
    </xf>
    <xf numFmtId="166" fontId="9" fillId="0" borderId="0" xfId="27" applyNumberFormat="1" applyFont="1" applyFill="1" applyBorder="1" applyAlignment="1">
      <alignment/>
    </xf>
    <xf numFmtId="168" fontId="8" fillId="0" borderId="1" xfId="15" applyNumberFormat="1" applyFont="1" applyFill="1" applyBorder="1" applyAlignment="1">
      <alignment/>
    </xf>
    <xf numFmtId="9" fontId="8" fillId="0" borderId="0" xfId="27" applyNumberFormat="1" applyFont="1" applyFill="1" applyAlignment="1">
      <alignment/>
    </xf>
    <xf numFmtId="42" fontId="8" fillId="0" borderId="0" xfId="15" applyNumberFormat="1" applyFont="1" applyFill="1" applyBorder="1" applyAlignment="1">
      <alignment/>
    </xf>
    <xf numFmtId="39" fontId="35" fillId="0" borderId="0" xfId="0" applyFont="1" applyAlignment="1">
      <alignment/>
    </xf>
    <xf numFmtId="0" fontId="8" fillId="0" borderId="0" xfId="0" applyNumberFormat="1" applyFont="1" applyFill="1" applyAlignment="1" applyProtection="1">
      <alignment/>
      <protection/>
    </xf>
    <xf numFmtId="168" fontId="34" fillId="0" borderId="0" xfId="15" applyNumberFormat="1" applyFont="1" applyFill="1" applyAlignment="1" applyProtection="1">
      <alignment/>
      <protection/>
    </xf>
    <xf numFmtId="0" fontId="34" fillId="0" borderId="0" xfId="0" applyNumberFormat="1" applyFont="1" applyFill="1" applyAlignment="1" applyProtection="1">
      <alignment/>
      <protection/>
    </xf>
    <xf numFmtId="0" fontId="29" fillId="0" borderId="1" xfId="0" applyNumberFormat="1" applyFont="1" applyBorder="1" applyAlignment="1" applyProtection="1">
      <alignment/>
      <protection/>
    </xf>
    <xf numFmtId="178" fontId="29" fillId="0" borderId="1" xfId="0" applyNumberFormat="1" applyFont="1" applyBorder="1" applyAlignment="1" applyProtection="1">
      <alignment/>
      <protection/>
    </xf>
    <xf numFmtId="39" fontId="29" fillId="0" borderId="0" xfId="0" applyFont="1" applyAlignment="1">
      <alignment/>
    </xf>
    <xf numFmtId="167" fontId="29" fillId="0" borderId="3" xfId="17" applyNumberFormat="1" applyFont="1" applyBorder="1" applyAlignment="1" applyProtection="1">
      <alignment/>
      <protection/>
    </xf>
    <xf numFmtId="9" fontId="8" fillId="0" borderId="0" xfId="17" applyNumberFormat="1" applyFont="1" applyBorder="1" applyAlignment="1">
      <alignment/>
    </xf>
    <xf numFmtId="9" fontId="8" fillId="0" borderId="0" xfId="27" applyNumberFormat="1" applyFont="1" applyFill="1" applyAlignment="1">
      <alignment/>
    </xf>
    <xf numFmtId="9" fontId="8" fillId="0" borderId="0" xfId="27" applyNumberFormat="1" applyFont="1" applyFill="1" applyBorder="1" applyAlignment="1">
      <alignment/>
    </xf>
    <xf numFmtId="9" fontId="8" fillId="0" borderId="3" xfId="27" applyNumberFormat="1" applyFont="1" applyFill="1" applyBorder="1" applyAlignment="1">
      <alignment/>
    </xf>
    <xf numFmtId="9" fontId="8" fillId="0" borderId="3" xfId="27" applyNumberFormat="1" applyFont="1" applyFill="1" applyBorder="1" applyAlignment="1">
      <alignment/>
    </xf>
    <xf numFmtId="37" fontId="36" fillId="0" borderId="0" xfId="0" applyNumberFormat="1" applyFont="1" applyFill="1" applyBorder="1" applyAlignment="1">
      <alignment horizontal="left"/>
    </xf>
    <xf numFmtId="9" fontId="8" fillId="0" borderId="4" xfId="27" applyNumberFormat="1" applyFont="1" applyFill="1" applyBorder="1" applyAlignment="1">
      <alignment/>
    </xf>
    <xf numFmtId="39" fontId="20" fillId="0" borderId="0" xfId="0" applyFont="1" applyFill="1" applyAlignment="1">
      <alignment horizontal="left" vertical="top"/>
    </xf>
    <xf numFmtId="39" fontId="16" fillId="0" borderId="0" xfId="0" applyFont="1" applyFill="1" applyAlignment="1">
      <alignment/>
    </xf>
    <xf numFmtId="39" fontId="37" fillId="0" borderId="0" xfId="0" applyFont="1" applyAlignment="1">
      <alignment/>
    </xf>
    <xf numFmtId="167" fontId="8" fillId="0" borderId="0" xfId="17" applyNumberFormat="1" applyFont="1" applyFill="1" applyBorder="1" applyAlignment="1">
      <alignment/>
    </xf>
    <xf numFmtId="41" fontId="8" fillId="0" borderId="1" xfId="0" applyNumberFormat="1" applyFont="1" applyFill="1" applyBorder="1" applyAlignment="1">
      <alignment/>
    </xf>
    <xf numFmtId="42" fontId="8" fillId="0" borderId="0" xfId="0" applyNumberFormat="1" applyFont="1" applyFill="1" applyBorder="1" applyAlignment="1">
      <alignment/>
    </xf>
    <xf numFmtId="37" fontId="8" fillId="0" borderId="0" xfId="0" applyNumberFormat="1" applyFont="1" applyFill="1" applyBorder="1" applyAlignment="1">
      <alignment/>
    </xf>
    <xf numFmtId="42" fontId="8" fillId="0" borderId="3" xfId="0" applyNumberFormat="1" applyFont="1" applyFill="1" applyBorder="1" applyAlignment="1">
      <alignment/>
    </xf>
    <xf numFmtId="39" fontId="9" fillId="0" borderId="0" xfId="0" applyFont="1" applyFill="1" applyAlignment="1">
      <alignment horizontal="center"/>
    </xf>
    <xf numFmtId="168" fontId="8" fillId="0" borderId="1" xfId="15" applyNumberFormat="1" applyFont="1" applyFill="1" applyBorder="1" applyAlignment="1">
      <alignment/>
    </xf>
    <xf numFmtId="168" fontId="8" fillId="0" borderId="0" xfId="15" applyNumberFormat="1" applyFont="1" applyFill="1" applyAlignment="1">
      <alignment/>
    </xf>
    <xf numFmtId="39" fontId="0" fillId="0" borderId="0" xfId="0" applyFill="1" applyAlignment="1">
      <alignment/>
    </xf>
    <xf numFmtId="168" fontId="8" fillId="0" borderId="2" xfId="15" applyNumberFormat="1" applyFont="1" applyFill="1" applyBorder="1" applyAlignment="1">
      <alignment/>
    </xf>
    <xf numFmtId="168" fontId="8" fillId="0" borderId="2" xfId="15" applyNumberFormat="1" applyFont="1" applyFill="1" applyBorder="1" applyAlignment="1">
      <alignment/>
    </xf>
    <xf numFmtId="39" fontId="20" fillId="0" borderId="0" xfId="0" applyFont="1" applyAlignment="1">
      <alignment/>
    </xf>
    <xf numFmtId="39" fontId="10" fillId="0" borderId="0" xfId="0" applyFont="1" applyFill="1" applyAlignment="1">
      <alignment horizontal="centerContinuous"/>
    </xf>
    <xf numFmtId="39" fontId="8" fillId="0" borderId="0" xfId="0" applyFont="1" applyAlignment="1" quotePrefix="1">
      <alignment/>
    </xf>
    <xf numFmtId="167" fontId="8" fillId="0" borderId="0" xfId="0" applyNumberFormat="1" applyFont="1" applyAlignment="1" applyProtection="1">
      <alignment/>
      <protection/>
    </xf>
    <xf numFmtId="37" fontId="8" fillId="0" borderId="4" xfId="0" applyNumberFormat="1" applyFont="1" applyBorder="1" applyAlignment="1">
      <alignment/>
    </xf>
    <xf numFmtId="42" fontId="33" fillId="0" borderId="0" xfId="15" applyNumberFormat="1" applyFont="1" applyFill="1" applyBorder="1" applyAlignment="1">
      <alignment/>
    </xf>
    <xf numFmtId="9" fontId="33" fillId="0" borderId="0" xfId="15" applyNumberFormat="1" applyFont="1" applyFill="1" applyBorder="1" applyAlignment="1">
      <alignment/>
    </xf>
    <xf numFmtId="39" fontId="8" fillId="0" borderId="0" xfId="0" applyFont="1" applyFill="1" applyBorder="1" applyAlignment="1">
      <alignment/>
    </xf>
    <xf numFmtId="39" fontId="8" fillId="0" borderId="0" xfId="0" applyFont="1" applyFill="1" applyBorder="1" applyAlignment="1">
      <alignment horizontal="right"/>
    </xf>
    <xf numFmtId="39" fontId="20" fillId="0" borderId="0" xfId="0" applyFont="1" applyAlignment="1">
      <alignment/>
    </xf>
    <xf numFmtId="39" fontId="10" fillId="0" borderId="0" xfId="0" applyFont="1" applyAlignment="1">
      <alignment/>
    </xf>
    <xf numFmtId="39" fontId="9" fillId="0" borderId="0" xfId="0" applyFont="1" applyBorder="1" applyAlignment="1" quotePrefix="1">
      <alignment horizontal="center"/>
    </xf>
    <xf numFmtId="39" fontId="9" fillId="0" borderId="1" xfId="0" applyFont="1" applyBorder="1" applyAlignment="1" quotePrefix="1">
      <alignment horizontal="center"/>
    </xf>
    <xf numFmtId="171" fontId="9" fillId="0" borderId="0" xfId="15" applyNumberFormat="1" applyFont="1" applyBorder="1" applyAlignment="1" quotePrefix="1">
      <alignment horizontal="center"/>
    </xf>
    <xf numFmtId="168" fontId="8" fillId="0" borderId="0" xfId="17" applyNumberFormat="1" applyFont="1" applyAlignment="1">
      <alignment/>
    </xf>
    <xf numFmtId="41" fontId="8" fillId="0" borderId="4" xfId="15" applyNumberFormat="1" applyFont="1" applyFill="1" applyBorder="1" applyAlignment="1">
      <alignment/>
    </xf>
    <xf numFmtId="168" fontId="8" fillId="0" borderId="0" xfId="15" applyNumberFormat="1" applyFont="1" applyFill="1" applyAlignment="1">
      <alignment horizontal="left" vertical="top" wrapText="1" indent="1"/>
    </xf>
    <xf numFmtId="168" fontId="9" fillId="0" borderId="2" xfId="15" applyNumberFormat="1" applyFont="1" applyFill="1" applyBorder="1" applyAlignment="1">
      <alignment/>
    </xf>
    <xf numFmtId="37" fontId="29" fillId="0" borderId="0" xfId="0" applyNumberFormat="1" applyFont="1" applyAlignment="1">
      <alignment/>
    </xf>
    <xf numFmtId="9" fontId="8" fillId="0" borderId="3" xfId="27" applyNumberFormat="1" applyFont="1" applyFill="1" applyBorder="1" applyAlignment="1">
      <alignment/>
    </xf>
    <xf numFmtId="0" fontId="7" fillId="0" borderId="0" xfId="23" applyNumberFormat="1" applyFont="1" applyFill="1" applyAlignment="1">
      <alignment horizontal="center" vertical="center"/>
      <protection/>
    </xf>
    <xf numFmtId="0" fontId="10" fillId="0" borderId="0" xfId="23" applyNumberFormat="1" applyFont="1" applyFill="1" applyAlignment="1">
      <alignment horizontal="center" vertical="center"/>
      <protection/>
    </xf>
    <xf numFmtId="0" fontId="9" fillId="0" borderId="0" xfId="23" applyNumberFormat="1" applyFont="1" applyFill="1" applyAlignment="1">
      <alignment horizontal="center" vertical="center"/>
      <protection/>
    </xf>
    <xf numFmtId="39" fontId="8" fillId="0" borderId="0" xfId="0" applyFont="1" applyAlignment="1">
      <alignment horizontal="centerContinuous" vertical="center"/>
    </xf>
    <xf numFmtId="0" fontId="8" fillId="0" borderId="0" xfId="0" applyNumberFormat="1" applyFont="1" applyAlignment="1" applyProtection="1">
      <alignment horizontal="centerContinuous"/>
      <protection/>
    </xf>
    <xf numFmtId="39" fontId="11" fillId="0" borderId="0" xfId="0" applyFont="1" applyAlignment="1">
      <alignment horizontal="left" vertical="center"/>
    </xf>
    <xf numFmtId="39" fontId="38" fillId="0" borderId="0" xfId="0" applyFont="1" applyAlignment="1">
      <alignment vertical="center"/>
    </xf>
    <xf numFmtId="167" fontId="8" fillId="0" borderId="0" xfId="17" applyNumberFormat="1" applyFont="1" applyBorder="1" applyAlignment="1" applyProtection="1">
      <alignment/>
      <protection/>
    </xf>
    <xf numFmtId="42" fontId="8" fillId="0" borderId="0" xfId="23" applyNumberFormat="1" applyFont="1" applyFill="1" applyAlignment="1">
      <alignment horizontal="right"/>
      <protection/>
    </xf>
    <xf numFmtId="41" fontId="8" fillId="0" borderId="0" xfId="0" applyNumberFormat="1" applyFont="1" applyFill="1" applyAlignment="1">
      <alignment horizontal="right"/>
    </xf>
    <xf numFmtId="42" fontId="9" fillId="0" borderId="0" xfId="0" applyNumberFormat="1" applyFont="1" applyBorder="1" applyAlignment="1">
      <alignment horizontal="right"/>
    </xf>
    <xf numFmtId="166" fontId="9" fillId="0" borderId="0" xfId="27" applyNumberFormat="1" applyFont="1" applyBorder="1" applyAlignment="1">
      <alignment horizontal="center"/>
    </xf>
    <xf numFmtId="168" fontId="8" fillId="0" borderId="0" xfId="0" applyNumberFormat="1" applyFont="1" applyBorder="1" applyAlignment="1" applyProtection="1">
      <alignment/>
      <protection/>
    </xf>
    <xf numFmtId="39" fontId="14" fillId="0" borderId="0" xfId="0" applyFont="1" applyBorder="1" applyAlignment="1">
      <alignment horizontal="left"/>
    </xf>
    <xf numFmtId="39" fontId="8" fillId="0" borderId="0" xfId="0" applyFont="1" applyFill="1" applyBorder="1" applyAlignment="1">
      <alignment horizontal="left"/>
    </xf>
    <xf numFmtId="39" fontId="8" fillId="0" borderId="0" xfId="0" applyFont="1" applyBorder="1" applyAlignment="1">
      <alignment horizontal="left"/>
    </xf>
    <xf numFmtId="39" fontId="20" fillId="0" borderId="0" xfId="0" applyFont="1" applyAlignment="1" quotePrefix="1">
      <alignment horizontal="left" wrapText="1"/>
    </xf>
    <xf numFmtId="39" fontId="9" fillId="0" borderId="0" xfId="0" applyFont="1" applyFill="1" applyBorder="1" applyAlignment="1">
      <alignment horizontal="centerContinuous"/>
    </xf>
    <xf numFmtId="0" fontId="14" fillId="0" borderId="0" xfId="0" applyNumberFormat="1" applyFont="1" applyFill="1" applyBorder="1" applyAlignment="1" applyProtection="1">
      <alignment/>
      <protection/>
    </xf>
    <xf numFmtId="39" fontId="11" fillId="0" borderId="0" xfId="0" applyFont="1" applyFill="1" applyAlignment="1">
      <alignment/>
    </xf>
    <xf numFmtId="39" fontId="11" fillId="0" borderId="0" xfId="0" applyFont="1" applyFill="1" applyAlignment="1">
      <alignment/>
    </xf>
    <xf numFmtId="0" fontId="14" fillId="0" borderId="0" xfId="0" applyNumberFormat="1" applyFont="1" applyFill="1" applyAlignment="1" applyProtection="1">
      <alignment/>
      <protection/>
    </xf>
    <xf numFmtId="39" fontId="9" fillId="0" borderId="0" xfId="0" applyFont="1" applyFill="1" applyAlignment="1">
      <alignment/>
    </xf>
    <xf numFmtId="39" fontId="9" fillId="0" borderId="1" xfId="0" applyFont="1" applyFill="1" applyBorder="1" applyAlignment="1">
      <alignment horizontal="center" vertical="center" wrapText="1"/>
    </xf>
    <xf numFmtId="39" fontId="9" fillId="0" borderId="1" xfId="0" applyFont="1" applyFill="1" applyBorder="1" applyAlignment="1">
      <alignment horizontal="center" vertical="center"/>
    </xf>
    <xf numFmtId="39" fontId="9" fillId="0" borderId="1" xfId="0" applyFont="1" applyFill="1" applyBorder="1" applyAlignment="1">
      <alignment horizontal="center" wrapText="1"/>
    </xf>
    <xf numFmtId="39" fontId="0" fillId="0" borderId="0" xfId="0" applyBorder="1" applyAlignment="1">
      <alignment/>
    </xf>
    <xf numFmtId="42" fontId="8" fillId="0" borderId="0" xfId="0" applyNumberFormat="1" applyFont="1" applyBorder="1" applyAlignment="1">
      <alignment/>
    </xf>
    <xf numFmtId="42" fontId="9" fillId="0" borderId="0" xfId="17" applyNumberFormat="1" applyFont="1" applyFill="1" applyBorder="1" applyAlignment="1">
      <alignment/>
    </xf>
    <xf numFmtId="42" fontId="0" fillId="0" borderId="0" xfId="0" applyNumberFormat="1" applyBorder="1" applyAlignment="1">
      <alignment/>
    </xf>
    <xf numFmtId="167" fontId="8" fillId="0" borderId="0" xfId="17" applyNumberFormat="1" applyFont="1" applyFill="1" applyBorder="1" applyAlignment="1" quotePrefix="1">
      <alignment horizontal="center"/>
    </xf>
    <xf numFmtId="42" fontId="8" fillId="0" borderId="0" xfId="17" applyNumberFormat="1" applyFont="1" applyFill="1" applyBorder="1" applyAlignment="1">
      <alignment/>
    </xf>
    <xf numFmtId="42" fontId="14" fillId="0" borderId="0" xfId="17" applyNumberFormat="1" applyFont="1" applyFill="1" applyBorder="1" applyAlignment="1">
      <alignment/>
    </xf>
    <xf numFmtId="42" fontId="14" fillId="0" borderId="0" xfId="17" applyNumberFormat="1" applyFont="1" applyFill="1" applyBorder="1" applyAlignment="1">
      <alignment/>
    </xf>
    <xf numFmtId="166" fontId="8" fillId="0" borderId="0" xfId="0" applyNumberFormat="1" applyFont="1" applyBorder="1" applyAlignment="1" applyProtection="1">
      <alignment/>
      <protection/>
    </xf>
    <xf numFmtId="166" fontId="8" fillId="0" borderId="0" xfId="17" applyNumberFormat="1" applyFont="1" applyFill="1" applyBorder="1" applyAlignment="1" quotePrefix="1">
      <alignment horizontal="center"/>
    </xf>
    <xf numFmtId="166" fontId="8" fillId="0" borderId="0" xfId="0" applyNumberFormat="1" applyFont="1" applyAlignment="1" applyProtection="1">
      <alignment/>
      <protection/>
    </xf>
    <xf numFmtId="39" fontId="8" fillId="0" borderId="0" xfId="0" applyFont="1" applyFill="1" applyAlignment="1">
      <alignment horizontal="left" indent="1"/>
    </xf>
    <xf numFmtId="39" fontId="0" fillId="0" borderId="0" xfId="0" applyFill="1" applyBorder="1" applyAlignment="1">
      <alignment/>
    </xf>
    <xf numFmtId="42" fontId="8" fillId="0" borderId="3" xfId="0" applyNumberFormat="1" applyFont="1" applyBorder="1" applyAlignment="1">
      <alignment/>
    </xf>
    <xf numFmtId="42" fontId="9" fillId="0" borderId="3" xfId="17" applyNumberFormat="1" applyFont="1" applyFill="1" applyBorder="1" applyAlignment="1">
      <alignment/>
    </xf>
    <xf numFmtId="42" fontId="0" fillId="0" borderId="3" xfId="0" applyNumberFormat="1" applyBorder="1" applyAlignment="1">
      <alignment/>
    </xf>
    <xf numFmtId="39" fontId="0" fillId="0" borderId="0" xfId="0" applyAlignment="1">
      <alignment horizontal="left" wrapText="1"/>
    </xf>
    <xf numFmtId="39" fontId="19" fillId="0" borderId="0" xfId="0" applyFont="1" applyFill="1" applyAlignment="1">
      <alignment horizontal="left" wrapText="1"/>
    </xf>
    <xf numFmtId="39" fontId="20" fillId="0" borderId="0" xfId="0" applyFont="1" applyAlignment="1">
      <alignment wrapText="1"/>
    </xf>
    <xf numFmtId="39" fontId="19" fillId="0" borderId="0" xfId="0" applyFont="1" applyFill="1" applyAlignment="1">
      <alignment horizontal="left" vertical="top" wrapText="1"/>
    </xf>
    <xf numFmtId="39" fontId="20" fillId="0" borderId="0" xfId="0" applyFont="1" applyAlignment="1">
      <alignment vertical="top" wrapText="1"/>
    </xf>
    <xf numFmtId="39" fontId="8" fillId="0" borderId="0" xfId="0" applyFont="1" applyAlignment="1">
      <alignment horizontal="left" indent="3"/>
    </xf>
    <xf numFmtId="9" fontId="8" fillId="0" borderId="0" xfId="0" applyNumberFormat="1" applyFont="1" applyAlignment="1">
      <alignment/>
    </xf>
    <xf numFmtId="168" fontId="9" fillId="0" borderId="0" xfId="15" applyNumberFormat="1" applyFont="1" applyFill="1" applyBorder="1" applyAlignment="1">
      <alignment/>
    </xf>
    <xf numFmtId="16" fontId="9" fillId="0" borderId="0" xfId="0" applyNumberFormat="1" applyFont="1" applyBorder="1" applyAlignment="1" applyProtection="1" quotePrefix="1">
      <alignment horizontal="center"/>
      <protection/>
    </xf>
    <xf numFmtId="0" fontId="22" fillId="0" borderId="0" xfId="0" applyNumberFormat="1" applyFont="1" applyBorder="1" applyAlignment="1" applyProtection="1">
      <alignment horizontal="center"/>
      <protection/>
    </xf>
    <xf numFmtId="168" fontId="8" fillId="0" borderId="0" xfId="15" applyNumberFormat="1" applyFont="1" applyFill="1" applyBorder="1" applyAlignment="1" applyProtection="1">
      <alignment/>
      <protection/>
    </xf>
    <xf numFmtId="9" fontId="8" fillId="0" borderId="0" xfId="27" applyFont="1" applyBorder="1" applyAlignment="1">
      <alignment/>
    </xf>
    <xf numFmtId="39" fontId="9" fillId="0" borderId="0" xfId="0" applyFont="1" applyBorder="1" applyAlignment="1">
      <alignment/>
    </xf>
    <xf numFmtId="39" fontId="10" fillId="0" borderId="0" xfId="0" applyFont="1" applyBorder="1" applyAlignment="1">
      <alignment/>
    </xf>
    <xf numFmtId="39" fontId="9" fillId="0" borderId="0" xfId="0" applyFont="1" applyFill="1" applyBorder="1" applyAlignment="1">
      <alignment/>
    </xf>
    <xf numFmtId="9" fontId="8" fillId="0" borderId="0" xfId="27" applyFont="1" applyFill="1" applyBorder="1" applyAlignment="1">
      <alignment/>
    </xf>
    <xf numFmtId="166" fontId="8" fillId="0" borderId="0" xfId="27" applyNumberFormat="1" applyFont="1" applyFill="1" applyBorder="1" applyAlignment="1">
      <alignment/>
    </xf>
    <xf numFmtId="37" fontId="13" fillId="0" borderId="0" xfId="0" applyNumberFormat="1" applyFont="1" applyFill="1" applyBorder="1" applyAlignment="1">
      <alignment/>
    </xf>
    <xf numFmtId="39" fontId="8" fillId="0" borderId="2" xfId="0" applyFont="1" applyBorder="1" applyAlignment="1" quotePrefix="1">
      <alignment/>
    </xf>
    <xf numFmtId="39" fontId="9" fillId="0" borderId="0" xfId="0" applyFont="1" applyBorder="1" applyAlignment="1" quotePrefix="1">
      <alignment horizontal="center"/>
    </xf>
    <xf numFmtId="168" fontId="8" fillId="0" borderId="1" xfId="15" applyNumberFormat="1" applyFont="1" applyFill="1" applyBorder="1" applyAlignment="1">
      <alignment/>
    </xf>
    <xf numFmtId="168" fontId="8" fillId="0" borderId="0" xfId="15" applyNumberFormat="1" applyFont="1" applyFill="1" applyBorder="1" applyAlignment="1">
      <alignment/>
    </xf>
    <xf numFmtId="10" fontId="8" fillId="0" borderId="0" xfId="27" applyNumberFormat="1" applyFont="1" applyAlignment="1">
      <alignment/>
    </xf>
    <xf numFmtId="172" fontId="8" fillId="0" borderId="0" xfId="0" applyNumberFormat="1" applyFont="1" applyAlignment="1">
      <alignment/>
    </xf>
    <xf numFmtId="177" fontId="8" fillId="0" borderId="0" xfId="0" applyNumberFormat="1" applyFont="1" applyAlignment="1">
      <alignment/>
    </xf>
    <xf numFmtId="42" fontId="8" fillId="0" borderId="0" xfId="17" applyNumberFormat="1" applyFont="1" applyAlignment="1">
      <alignment horizontal="center"/>
    </xf>
    <xf numFmtId="0" fontId="7" fillId="0" borderId="0" xfId="0" applyNumberFormat="1" applyFont="1" applyAlignment="1" applyProtection="1">
      <alignment/>
      <protection/>
    </xf>
    <xf numFmtId="39" fontId="7" fillId="0" borderId="0" xfId="0" applyFont="1" applyAlignment="1">
      <alignment/>
    </xf>
    <xf numFmtId="39" fontId="10" fillId="0" borderId="0" xfId="0" applyFont="1" applyAlignment="1">
      <alignment/>
    </xf>
    <xf numFmtId="0" fontId="7" fillId="0" borderId="0" xfId="23" applyNumberFormat="1" applyFont="1" applyFill="1" applyAlignment="1">
      <alignment vertical="center"/>
      <protection/>
    </xf>
    <xf numFmtId="39" fontId="7" fillId="0" borderId="0" xfId="0" applyFont="1" applyAlignment="1">
      <alignment wrapText="1"/>
    </xf>
    <xf numFmtId="0" fontId="9" fillId="0" borderId="0" xfId="23" applyNumberFormat="1" applyFont="1" applyFill="1" applyAlignment="1">
      <alignment vertical="center"/>
      <protection/>
    </xf>
    <xf numFmtId="0" fontId="10" fillId="0" borderId="0" xfId="23" applyNumberFormat="1" applyFont="1" applyFill="1" applyAlignment="1">
      <alignment vertical="center"/>
      <protection/>
    </xf>
    <xf numFmtId="39" fontId="10" fillId="0" borderId="0" xfId="0" applyFont="1" applyAlignment="1">
      <alignment wrapText="1"/>
    </xf>
    <xf numFmtId="39" fontId="20" fillId="0" borderId="0" xfId="0" applyNumberFormat="1" applyFont="1" applyFill="1" applyAlignment="1" applyProtection="1">
      <alignment/>
      <protection/>
    </xf>
    <xf numFmtId="41" fontId="8" fillId="0" borderId="0" xfId="0" applyNumberFormat="1" applyFont="1" applyFill="1" applyBorder="1" applyAlignment="1">
      <alignment/>
    </xf>
    <xf numFmtId="0" fontId="9" fillId="0" borderId="0" xfId="0" applyNumberFormat="1" applyFont="1" applyFill="1" applyAlignment="1" applyProtection="1">
      <alignment/>
      <protection/>
    </xf>
    <xf numFmtId="168" fontId="8" fillId="0" borderId="0" xfId="15" applyNumberFormat="1" applyFont="1" applyFill="1" applyBorder="1" applyAlignment="1">
      <alignment/>
    </xf>
    <xf numFmtId="0" fontId="8" fillId="0" borderId="0" xfId="23" applyFont="1" applyFill="1" applyAlignment="1">
      <alignment/>
      <protection/>
    </xf>
    <xf numFmtId="9" fontId="33" fillId="0" borderId="0" xfId="15" applyNumberFormat="1" applyFont="1" applyFill="1" applyBorder="1" applyAlignment="1">
      <alignment/>
    </xf>
    <xf numFmtId="167" fontId="8" fillId="0" borderId="0" xfId="17" applyNumberFormat="1" applyFont="1" applyAlignment="1" applyProtection="1">
      <alignment/>
      <protection/>
    </xf>
    <xf numFmtId="39" fontId="8" fillId="0" borderId="0" xfId="0" applyFont="1" applyFill="1" applyAlignment="1">
      <alignment/>
    </xf>
    <xf numFmtId="167" fontId="8" fillId="0" borderId="0" xfId="17" applyNumberFormat="1" applyFont="1" applyFill="1" applyAlignment="1">
      <alignment/>
    </xf>
    <xf numFmtId="37" fontId="8" fillId="0" borderId="0" xfId="0" applyNumberFormat="1" applyFont="1" applyFill="1" applyBorder="1" applyAlignment="1">
      <alignment/>
    </xf>
    <xf numFmtId="39" fontId="8" fillId="0" borderId="0" xfId="0" applyFont="1" applyFill="1" applyAlignment="1">
      <alignment/>
    </xf>
    <xf numFmtId="39" fontId="9" fillId="0" borderId="0" xfId="0" applyFont="1" applyFill="1" applyAlignment="1">
      <alignment horizontal="left"/>
    </xf>
    <xf numFmtId="37" fontId="8" fillId="0" borderId="0" xfId="0" applyNumberFormat="1" applyFont="1" applyAlignment="1" applyProtection="1">
      <alignment/>
      <protection/>
    </xf>
    <xf numFmtId="44" fontId="33" fillId="0" borderId="0" xfId="23" applyNumberFormat="1" applyFont="1" applyFill="1" applyBorder="1" applyAlignment="1">
      <alignment/>
      <protection/>
    </xf>
    <xf numFmtId="42" fontId="8" fillId="0" borderId="0" xfId="15" applyNumberFormat="1" applyFont="1" applyFill="1" applyBorder="1" applyAlignment="1">
      <alignment/>
    </xf>
    <xf numFmtId="37" fontId="8" fillId="0" borderId="0" xfId="0" applyNumberFormat="1" applyFont="1" applyFill="1" applyBorder="1" applyAlignment="1">
      <alignment/>
    </xf>
    <xf numFmtId="37" fontId="8" fillId="0" borderId="0" xfId="0" applyNumberFormat="1" applyFont="1" applyFill="1" applyAlignment="1">
      <alignment/>
    </xf>
    <xf numFmtId="164" fontId="8" fillId="0" borderId="0" xfId="0" applyNumberFormat="1" applyFont="1" applyFill="1" applyBorder="1" applyAlignment="1">
      <alignment/>
    </xf>
    <xf numFmtId="164" fontId="9" fillId="0" borderId="0" xfId="0" applyNumberFormat="1" applyFont="1" applyFill="1" applyBorder="1" applyAlignment="1">
      <alignment/>
    </xf>
    <xf numFmtId="41" fontId="9" fillId="0" borderId="0" xfId="0" applyNumberFormat="1" applyFont="1" applyFill="1" applyBorder="1" applyAlignment="1">
      <alignment/>
    </xf>
    <xf numFmtId="166" fontId="8" fillId="0" borderId="0" xfId="0" applyNumberFormat="1" applyFont="1" applyFill="1" applyAlignment="1">
      <alignment/>
    </xf>
    <xf numFmtId="167" fontId="8" fillId="0" borderId="2" xfId="17" applyNumberFormat="1" applyFont="1" applyFill="1" applyBorder="1" applyAlignment="1">
      <alignment/>
    </xf>
    <xf numFmtId="164" fontId="8" fillId="0" borderId="0" xfId="0" applyNumberFormat="1" applyFont="1" applyFill="1" applyBorder="1" applyAlignment="1">
      <alignment/>
    </xf>
    <xf numFmtId="166" fontId="8" fillId="0" borderId="0" xfId="0" applyNumberFormat="1" applyFont="1" applyFill="1" applyBorder="1" applyAlignment="1">
      <alignment/>
    </xf>
    <xf numFmtId="166" fontId="8" fillId="0" borderId="1" xfId="0" applyNumberFormat="1" applyFont="1" applyFill="1" applyBorder="1" applyAlignment="1">
      <alignment/>
    </xf>
    <xf numFmtId="176" fontId="14" fillId="0" borderId="0" xfId="0" applyNumberFormat="1" applyFont="1" applyAlignment="1" quotePrefix="1">
      <alignment horizontal="left"/>
    </xf>
    <xf numFmtId="9" fontId="8" fillId="0" borderId="0" xfId="27" applyNumberFormat="1" applyFont="1" applyFill="1" applyBorder="1" applyAlignment="1">
      <alignment/>
    </xf>
    <xf numFmtId="39" fontId="14" fillId="0" borderId="0" xfId="0" applyFont="1" applyBorder="1" applyAlignment="1">
      <alignment/>
    </xf>
    <xf numFmtId="166" fontId="8" fillId="0" borderId="2" xfId="27" applyNumberFormat="1" applyFont="1" applyFill="1" applyBorder="1" applyAlignment="1">
      <alignment/>
    </xf>
    <xf numFmtId="166" fontId="8" fillId="0" borderId="0" xfId="17" applyNumberFormat="1" applyFont="1" applyFill="1" applyAlignment="1">
      <alignment/>
    </xf>
    <xf numFmtId="166" fontId="8" fillId="0" borderId="0" xfId="27" applyNumberFormat="1" applyFont="1" applyFill="1" applyAlignment="1">
      <alignment horizontal="right"/>
    </xf>
    <xf numFmtId="37" fontId="8" fillId="0" borderId="0" xfId="0" applyNumberFormat="1" applyFont="1" applyFill="1" applyAlignment="1">
      <alignment/>
    </xf>
    <xf numFmtId="39" fontId="9" fillId="0" borderId="0" xfId="0" applyFont="1" applyFill="1" applyAlignment="1" quotePrefix="1">
      <alignment horizontal="center"/>
    </xf>
    <xf numFmtId="0" fontId="9" fillId="0" borderId="2" xfId="0" applyNumberFormat="1" applyFont="1" applyFill="1" applyBorder="1" applyAlignment="1">
      <alignment horizontal="center"/>
    </xf>
    <xf numFmtId="168" fontId="8" fillId="0" borderId="1" xfId="15" applyNumberFormat="1" applyFont="1" applyFill="1" applyBorder="1" applyAlignment="1">
      <alignment horizontal="left" vertical="top" wrapText="1" indent="1"/>
    </xf>
    <xf numFmtId="167" fontId="8" fillId="0" borderId="3" xfId="17" applyNumberFormat="1" applyFont="1" applyFill="1" applyBorder="1" applyAlignment="1">
      <alignment/>
    </xf>
    <xf numFmtId="39" fontId="0" fillId="0" borderId="0" xfId="0" applyFont="1" applyFill="1" applyAlignment="1">
      <alignment/>
    </xf>
    <xf numFmtId="44" fontId="8" fillId="0" borderId="0" xfId="17" applyNumberFormat="1" applyFont="1" applyFill="1" applyAlignment="1">
      <alignment horizontal="left" vertical="top" wrapText="1" indent="1"/>
    </xf>
    <xf numFmtId="37" fontId="15" fillId="0" borderId="0" xfId="0" applyNumberFormat="1" applyFont="1" applyFill="1" applyAlignment="1">
      <alignment/>
    </xf>
    <xf numFmtId="39" fontId="7" fillId="0" borderId="0" xfId="0" applyFont="1" applyFill="1" applyAlignment="1">
      <alignment/>
    </xf>
    <xf numFmtId="0" fontId="8" fillId="0" borderId="0" xfId="23" applyNumberFormat="1" applyFont="1" applyFill="1" applyAlignment="1">
      <alignment/>
      <protection/>
    </xf>
    <xf numFmtId="41" fontId="8" fillId="0" borderId="1" xfId="23" applyNumberFormat="1" applyFont="1" applyFill="1" applyBorder="1" applyAlignment="1">
      <alignment/>
      <protection/>
    </xf>
    <xf numFmtId="41" fontId="8" fillId="0" borderId="3" xfId="23" applyNumberFormat="1" applyFont="1" applyFill="1" applyBorder="1" applyAlignment="1">
      <alignment/>
      <protection/>
    </xf>
    <xf numFmtId="168" fontId="8" fillId="0" borderId="0" xfId="17" applyNumberFormat="1" applyFont="1" applyFill="1" applyBorder="1" applyAlignment="1">
      <alignment/>
    </xf>
    <xf numFmtId="41" fontId="8" fillId="0" borderId="0" xfId="17" applyNumberFormat="1" applyFont="1" applyFill="1" applyBorder="1" applyAlignment="1">
      <alignment/>
    </xf>
    <xf numFmtId="173" fontId="8" fillId="0" borderId="0" xfId="0" applyNumberFormat="1" applyFont="1" applyFill="1" applyBorder="1" applyAlignment="1">
      <alignment/>
    </xf>
    <xf numFmtId="168" fontId="8" fillId="0" borderId="1" xfId="15" applyNumberFormat="1" applyFont="1" applyFill="1" applyBorder="1" applyAlignment="1">
      <alignment/>
    </xf>
    <xf numFmtId="168" fontId="9" fillId="0" borderId="0" xfId="15" applyNumberFormat="1" applyFont="1" applyFill="1" applyAlignment="1">
      <alignment/>
    </xf>
    <xf numFmtId="166" fontId="8" fillId="0" borderId="0" xfId="0" applyNumberFormat="1" applyFont="1" applyFill="1" applyBorder="1" applyAlignment="1">
      <alignment horizontal="right"/>
    </xf>
    <xf numFmtId="175" fontId="9" fillId="0" borderId="1" xfId="0" applyNumberFormat="1" applyFont="1" applyFill="1" applyBorder="1" applyAlignment="1">
      <alignment horizontal="center"/>
    </xf>
    <xf numFmtId="39" fontId="9" fillId="0" borderId="4" xfId="0" applyFont="1" applyFill="1" applyBorder="1" applyAlignment="1">
      <alignment horizontal="center"/>
    </xf>
    <xf numFmtId="166" fontId="8" fillId="0" borderId="0" xfId="27" applyNumberFormat="1" applyFont="1" applyFill="1" applyAlignment="1">
      <alignment horizontal="center"/>
    </xf>
    <xf numFmtId="42" fontId="9" fillId="0" borderId="3" xfId="0" applyNumberFormat="1" applyFont="1" applyFill="1" applyBorder="1" applyAlignment="1">
      <alignment horizontal="right"/>
    </xf>
    <xf numFmtId="166" fontId="9" fillId="0" borderId="3" xfId="27" applyNumberFormat="1" applyFont="1" applyFill="1" applyBorder="1" applyAlignment="1">
      <alignment horizontal="center"/>
    </xf>
    <xf numFmtId="39" fontId="8" fillId="0" borderId="1" xfId="0" applyFont="1" applyFill="1" applyBorder="1" applyAlignment="1">
      <alignment/>
    </xf>
    <xf numFmtId="9" fontId="8" fillId="0" borderId="0" xfId="27" applyFont="1" applyFill="1" applyBorder="1" applyAlignment="1">
      <alignment/>
    </xf>
    <xf numFmtId="41" fontId="8" fillId="0" borderId="0" xfId="15" applyNumberFormat="1" applyFont="1" applyFill="1" applyAlignment="1">
      <alignment/>
    </xf>
    <xf numFmtId="41" fontId="8" fillId="0" borderId="0" xfId="15" applyNumberFormat="1" applyFont="1" applyFill="1" applyAlignment="1">
      <alignment/>
    </xf>
    <xf numFmtId="42" fontId="8" fillId="0" borderId="3" xfId="15" applyNumberFormat="1" applyFont="1" applyFill="1" applyBorder="1" applyAlignment="1">
      <alignment/>
    </xf>
    <xf numFmtId="42" fontId="8" fillId="0" borderId="3" xfId="15" applyNumberFormat="1" applyFont="1" applyFill="1" applyBorder="1" applyAlignment="1">
      <alignment/>
    </xf>
    <xf numFmtId="168" fontId="9" fillId="0" borderId="0" xfId="15" applyNumberFormat="1" applyFont="1" applyFill="1" applyAlignment="1">
      <alignment/>
    </xf>
    <xf numFmtId="39" fontId="0" fillId="0" borderId="0" xfId="0" applyFill="1" applyBorder="1" applyAlignment="1">
      <alignment/>
    </xf>
    <xf numFmtId="167" fontId="8" fillId="0" borderId="2" xfId="17" applyNumberFormat="1" applyFont="1" applyFill="1" applyBorder="1" applyAlignment="1">
      <alignment/>
    </xf>
    <xf numFmtId="168" fontId="8" fillId="0" borderId="1" xfId="17" applyNumberFormat="1" applyFont="1" applyFill="1" applyBorder="1" applyAlignment="1">
      <alignment/>
    </xf>
    <xf numFmtId="39" fontId="9" fillId="0" borderId="0" xfId="0" applyFont="1" applyFill="1" applyBorder="1" applyAlignment="1">
      <alignment horizontal="center"/>
    </xf>
    <xf numFmtId="0" fontId="9" fillId="0" borderId="1" xfId="0" applyNumberFormat="1" applyFont="1" applyFill="1" applyBorder="1" applyAlignment="1">
      <alignment horizontal="center"/>
    </xf>
    <xf numFmtId="39" fontId="0" fillId="0" borderId="0" xfId="0" applyFont="1" applyFill="1" applyBorder="1" applyAlignment="1">
      <alignment/>
    </xf>
    <xf numFmtId="168" fontId="8" fillId="0" borderId="2" xfId="15" applyNumberFormat="1" applyFont="1" applyFill="1" applyBorder="1" applyAlignment="1" applyProtection="1">
      <alignment/>
      <protection/>
    </xf>
    <xf numFmtId="167" fontId="8" fillId="0" borderId="3" xfId="0" applyNumberFormat="1" applyFont="1" applyFill="1" applyBorder="1" applyAlignment="1" applyProtection="1">
      <alignment/>
      <protection/>
    </xf>
    <xf numFmtId="39" fontId="14" fillId="0" borderId="0" xfId="0" applyFont="1" applyFill="1" applyAlignment="1">
      <alignment/>
    </xf>
    <xf numFmtId="39" fontId="14" fillId="0" borderId="0" xfId="0" applyFont="1" applyFill="1" applyBorder="1" applyAlignment="1">
      <alignment/>
    </xf>
    <xf numFmtId="39" fontId="8" fillId="0" borderId="0" xfId="0" applyFont="1" applyFill="1" applyBorder="1" applyAlignment="1">
      <alignment wrapText="1"/>
    </xf>
    <xf numFmtId="168" fontId="8" fillId="0" borderId="4" xfId="15" applyNumberFormat="1" applyFont="1" applyFill="1" applyBorder="1" applyAlignment="1" applyProtection="1">
      <alignment/>
      <protection/>
    </xf>
    <xf numFmtId="4" fontId="14" fillId="0" borderId="0" xfId="0" applyNumberFormat="1" applyFont="1" applyFill="1" applyBorder="1" applyAlignment="1" applyProtection="1">
      <alignment/>
      <protection/>
    </xf>
    <xf numFmtId="168" fontId="8" fillId="0" borderId="4" xfId="15" applyNumberFormat="1" applyFont="1" applyFill="1" applyBorder="1" applyAlignment="1">
      <alignment/>
    </xf>
    <xf numFmtId="168" fontId="8" fillId="0" borderId="4" xfId="15" applyNumberFormat="1" applyFont="1" applyFill="1" applyBorder="1" applyAlignment="1">
      <alignment/>
    </xf>
    <xf numFmtId="42" fontId="8" fillId="0" borderId="3" xfId="15" applyNumberFormat="1" applyFont="1" applyFill="1" applyBorder="1" applyAlignment="1">
      <alignment/>
    </xf>
    <xf numFmtId="42" fontId="8" fillId="0" borderId="0" xfId="0" applyNumberFormat="1" applyFont="1" applyFill="1" applyBorder="1" applyAlignment="1">
      <alignment/>
    </xf>
    <xf numFmtId="0" fontId="9" fillId="0" borderId="0" xfId="0" applyNumberFormat="1" applyFont="1" applyFill="1" applyAlignment="1">
      <alignment horizontal="center"/>
    </xf>
    <xf numFmtId="37" fontId="13" fillId="0" borderId="0" xfId="0" applyNumberFormat="1" applyFont="1" applyFill="1" applyAlignment="1">
      <alignment/>
    </xf>
    <xf numFmtId="9" fontId="33" fillId="0" borderId="0" xfId="27" applyFont="1" applyFill="1" applyAlignment="1">
      <alignment/>
    </xf>
    <xf numFmtId="37" fontId="33" fillId="0" borderId="0" xfId="0" applyNumberFormat="1" applyFont="1" applyFill="1" applyBorder="1" applyAlignment="1">
      <alignment/>
    </xf>
    <xf numFmtId="41" fontId="8" fillId="0" borderId="0" xfId="0" applyNumberFormat="1" applyFont="1" applyFill="1" applyBorder="1" applyAlignment="1">
      <alignment/>
    </xf>
    <xf numFmtId="166" fontId="8" fillId="0" borderId="0" xfId="0" applyNumberFormat="1" applyFont="1" applyFill="1" applyBorder="1" applyAlignment="1">
      <alignment/>
    </xf>
    <xf numFmtId="166" fontId="8" fillId="0" borderId="1" xfId="0" applyNumberFormat="1" applyFont="1" applyFill="1" applyBorder="1" applyAlignment="1">
      <alignment/>
    </xf>
    <xf numFmtId="164" fontId="8" fillId="0" borderId="0" xfId="0" applyNumberFormat="1" applyFont="1" applyFill="1" applyAlignment="1">
      <alignment/>
    </xf>
    <xf numFmtId="49" fontId="13" fillId="0" borderId="0" xfId="0" applyNumberFormat="1" applyFont="1" applyFill="1" applyAlignment="1">
      <alignment horizontal="left"/>
    </xf>
    <xf numFmtId="169" fontId="9" fillId="0" borderId="0" xfId="0" applyNumberFormat="1" applyFont="1" applyAlignment="1" applyProtection="1">
      <alignment horizontal="center"/>
      <protection/>
    </xf>
    <xf numFmtId="0" fontId="8" fillId="0" borderId="0" xfId="0" applyFont="1" applyAlignment="1">
      <alignment/>
    </xf>
    <xf numFmtId="41" fontId="8" fillId="0" borderId="2" xfId="17" applyNumberFormat="1" applyFont="1" applyFill="1" applyBorder="1" applyAlignment="1">
      <alignment/>
    </xf>
    <xf numFmtId="41" fontId="8" fillId="0" borderId="0" xfId="17" applyNumberFormat="1" applyFont="1" applyFill="1" applyBorder="1" applyAlignment="1">
      <alignment/>
    </xf>
    <xf numFmtId="41" fontId="8" fillId="0" borderId="0" xfId="27" applyNumberFormat="1" applyFont="1" applyFill="1" applyAlignment="1">
      <alignment/>
    </xf>
    <xf numFmtId="41" fontId="8" fillId="0" borderId="0" xfId="0" applyNumberFormat="1" applyFont="1" applyFill="1" applyAlignment="1">
      <alignment/>
    </xf>
    <xf numFmtId="164" fontId="9" fillId="0" borderId="0" xfId="0" applyNumberFormat="1" applyFont="1" applyFill="1" applyAlignment="1">
      <alignment/>
    </xf>
    <xf numFmtId="0" fontId="9" fillId="0" borderId="0" xfId="0" applyNumberFormat="1" applyFont="1" applyFill="1" applyBorder="1" applyAlignment="1">
      <alignment horizontal="center"/>
    </xf>
    <xf numFmtId="37" fontId="8" fillId="0" borderId="0" xfId="0" applyNumberFormat="1" applyFont="1" applyAlignment="1" quotePrefix="1">
      <alignment horizontal="right"/>
    </xf>
    <xf numFmtId="44" fontId="8" fillId="0" borderId="0" xfId="17" applyFont="1" applyAlignment="1">
      <alignment/>
    </xf>
    <xf numFmtId="39" fontId="29" fillId="0" borderId="0" xfId="0" applyFont="1" applyBorder="1" applyAlignment="1">
      <alignment/>
    </xf>
    <xf numFmtId="41" fontId="9" fillId="0" borderId="2" xfId="15" applyNumberFormat="1" applyFont="1" applyFill="1" applyBorder="1" applyAlignment="1">
      <alignment/>
    </xf>
    <xf numFmtId="41" fontId="9" fillId="0" borderId="0" xfId="17" applyNumberFormat="1" applyFont="1" applyFill="1" applyBorder="1" applyAlignment="1">
      <alignment/>
    </xf>
    <xf numFmtId="41" fontId="9" fillId="0" borderId="0" xfId="15" applyNumberFormat="1" applyFont="1" applyFill="1" applyBorder="1" applyAlignment="1">
      <alignment/>
    </xf>
    <xf numFmtId="167" fontId="8" fillId="0" borderId="3" xfId="23" applyNumberFormat="1" applyFont="1" applyFill="1" applyBorder="1" applyAlignment="1">
      <alignment/>
      <protection/>
    </xf>
    <xf numFmtId="167" fontId="0" fillId="0" borderId="0" xfId="0" applyNumberFormat="1" applyFont="1" applyFill="1" applyAlignment="1">
      <alignment/>
    </xf>
    <xf numFmtId="167" fontId="8" fillId="0" borderId="0" xfId="23" applyNumberFormat="1" applyFont="1" applyFill="1" applyBorder="1" applyAlignment="1">
      <alignment/>
      <protection/>
    </xf>
    <xf numFmtId="41" fontId="8" fillId="0" borderId="2" xfId="15" applyNumberFormat="1" applyFont="1" applyFill="1" applyBorder="1" applyAlignment="1">
      <alignment/>
    </xf>
    <xf numFmtId="41" fontId="8" fillId="0" borderId="0" xfId="15" applyNumberFormat="1" applyFont="1" applyFill="1" applyBorder="1" applyAlignment="1">
      <alignment/>
    </xf>
    <xf numFmtId="41" fontId="33" fillId="0" borderId="0" xfId="27" applyNumberFormat="1" applyFont="1" applyFill="1" applyAlignment="1">
      <alignment/>
    </xf>
    <xf numFmtId="42" fontId="8" fillId="0" borderId="3" xfId="17" applyNumberFormat="1" applyFont="1" applyFill="1" applyBorder="1" applyAlignment="1">
      <alignment/>
    </xf>
    <xf numFmtId="41" fontId="8" fillId="0" borderId="0" xfId="15" applyNumberFormat="1" applyFont="1" applyFill="1" applyBorder="1" applyAlignment="1">
      <alignment/>
    </xf>
    <xf numFmtId="42" fontId="8" fillId="0" borderId="3" xfId="17" applyNumberFormat="1" applyFont="1" applyFill="1" applyBorder="1" applyAlignment="1">
      <alignment/>
    </xf>
    <xf numFmtId="39" fontId="11" fillId="0" borderId="0" xfId="0" applyFont="1" applyFill="1" applyAlignment="1">
      <alignment/>
    </xf>
    <xf numFmtId="9" fontId="8" fillId="0" borderId="0" xfId="17" applyNumberFormat="1" applyFont="1" applyFill="1" applyAlignment="1">
      <alignment/>
    </xf>
    <xf numFmtId="9" fontId="8" fillId="0" borderId="0" xfId="0" applyNumberFormat="1" applyFont="1" applyFill="1" applyAlignment="1">
      <alignment/>
    </xf>
    <xf numFmtId="168" fontId="8" fillId="0" borderId="0" xfId="15" applyNumberFormat="1" applyFont="1" applyBorder="1" applyAlignment="1">
      <alignment/>
    </xf>
    <xf numFmtId="168" fontId="8" fillId="0" borderId="0" xfId="0" applyNumberFormat="1" applyFont="1" applyFill="1" applyAlignment="1">
      <alignment/>
    </xf>
    <xf numFmtId="39" fontId="7" fillId="0" borderId="0" xfId="0" applyFont="1" applyFill="1" applyAlignment="1">
      <alignment horizontal="centerContinuous"/>
    </xf>
    <xf numFmtId="39" fontId="9" fillId="0" borderId="0" xfId="0" applyFont="1" applyFill="1" applyAlignment="1">
      <alignment horizontal="centerContinuous"/>
    </xf>
    <xf numFmtId="37" fontId="9" fillId="0" borderId="0" xfId="0" applyNumberFormat="1" applyFont="1" applyFill="1" applyAlignment="1">
      <alignment horizontal="center"/>
    </xf>
    <xf numFmtId="37" fontId="9" fillId="0" borderId="0" xfId="0" applyNumberFormat="1" applyFont="1" applyFill="1" applyBorder="1" applyAlignment="1">
      <alignment horizontal="center"/>
    </xf>
    <xf numFmtId="37" fontId="8" fillId="0" borderId="2" xfId="0" applyNumberFormat="1" applyFont="1" applyFill="1" applyBorder="1" applyAlignment="1">
      <alignment/>
    </xf>
    <xf numFmtId="37" fontId="8" fillId="0" borderId="2" xfId="0" applyNumberFormat="1" applyFont="1" applyFill="1" applyBorder="1" applyAlignment="1">
      <alignment/>
    </xf>
    <xf numFmtId="39" fontId="8" fillId="0" borderId="3" xfId="0" applyFont="1" applyBorder="1" applyAlignment="1">
      <alignment horizontal="left" indent="1"/>
    </xf>
    <xf numFmtId="39" fontId="8" fillId="0" borderId="1" xfId="0" applyFont="1" applyBorder="1" applyAlignment="1">
      <alignment/>
    </xf>
    <xf numFmtId="0" fontId="8" fillId="0" borderId="3" xfId="0" applyNumberFormat="1" applyFont="1" applyBorder="1" applyAlignment="1">
      <alignment wrapText="1"/>
    </xf>
    <xf numFmtId="39" fontId="8" fillId="0" borderId="3" xfId="0" applyFont="1" applyBorder="1" applyAlignment="1">
      <alignment/>
    </xf>
    <xf numFmtId="167" fontId="9" fillId="0" borderId="0" xfId="0" applyNumberFormat="1" applyFont="1" applyAlignment="1" applyProtection="1">
      <alignment/>
      <protection/>
    </xf>
    <xf numFmtId="165" fontId="9" fillId="0" borderId="0" xfId="17" applyNumberFormat="1" applyFont="1" applyFill="1" applyBorder="1" applyAlignment="1">
      <alignment/>
    </xf>
    <xf numFmtId="0" fontId="20" fillId="0" borderId="0" xfId="20" applyNumberFormat="1" applyFont="1" applyAlignment="1">
      <alignment/>
    </xf>
    <xf numFmtId="37" fontId="29" fillId="0" borderId="0" xfId="0" applyNumberFormat="1" applyFont="1" applyFill="1" applyAlignment="1">
      <alignment/>
    </xf>
    <xf numFmtId="41" fontId="8" fillId="0" borderId="0" xfId="15" applyNumberFormat="1" applyFont="1" applyFill="1" applyBorder="1" applyAlignment="1">
      <alignment/>
    </xf>
    <xf numFmtId="39" fontId="15" fillId="0" borderId="0" xfId="0" applyFont="1" applyBorder="1" applyAlignment="1">
      <alignment/>
    </xf>
    <xf numFmtId="0" fontId="8" fillId="0" borderId="0" xfId="23" applyFont="1" applyBorder="1" applyAlignment="1">
      <alignment/>
      <protection/>
    </xf>
    <xf numFmtId="37" fontId="8" fillId="0" borderId="4" xfId="0" applyNumberFormat="1" applyFont="1" applyFill="1" applyBorder="1" applyAlignment="1">
      <alignment/>
    </xf>
    <xf numFmtId="168" fontId="8" fillId="0" borderId="3" xfId="15" applyNumberFormat="1" applyFont="1" applyFill="1" applyBorder="1" applyAlignment="1">
      <alignment/>
    </xf>
    <xf numFmtId="0" fontId="8" fillId="0" borderId="0" xfId="0" applyNumberFormat="1" applyFont="1" applyFill="1" applyBorder="1" applyAlignment="1" applyProtection="1">
      <alignment/>
      <protection/>
    </xf>
    <xf numFmtId="42" fontId="8" fillId="0" borderId="0" xfId="0" applyNumberFormat="1" applyFont="1" applyFill="1" applyBorder="1" applyAlignment="1" applyProtection="1">
      <alignment/>
      <protection/>
    </xf>
    <xf numFmtId="41" fontId="8" fillId="0" borderId="5" xfId="23" applyNumberFormat="1" applyFont="1" applyFill="1" applyBorder="1" applyAlignment="1">
      <alignment/>
      <protection/>
    </xf>
    <xf numFmtId="43" fontId="8" fillId="0" borderId="1" xfId="15" applyFont="1" applyFill="1" applyBorder="1" applyAlignment="1">
      <alignment/>
    </xf>
    <xf numFmtId="44" fontId="8" fillId="0" borderId="3" xfId="23" applyNumberFormat="1" applyFont="1" applyFill="1" applyBorder="1" applyAlignment="1">
      <alignment/>
      <protection/>
    </xf>
    <xf numFmtId="179" fontId="40" fillId="0" borderId="0" xfId="0" applyNumberFormat="1" applyFont="1" applyFill="1" applyBorder="1" applyAlignment="1" applyProtection="1">
      <alignment/>
      <protection/>
    </xf>
    <xf numFmtId="179" fontId="41" fillId="0" borderId="0" xfId="0" applyNumberFormat="1" applyFont="1" applyFill="1" applyBorder="1" applyAlignment="1" applyProtection="1">
      <alignment/>
      <protection/>
    </xf>
    <xf numFmtId="39" fontId="10" fillId="0" borderId="0" xfId="0" applyFont="1" applyBorder="1" applyAlignment="1">
      <alignment horizontal="center"/>
    </xf>
    <xf numFmtId="169" fontId="9" fillId="0" borderId="0" xfId="0" applyNumberFormat="1" applyFont="1" applyBorder="1" applyAlignment="1" applyProtection="1" quotePrefix="1">
      <alignment horizontal="center"/>
      <protection/>
    </xf>
    <xf numFmtId="43" fontId="8" fillId="0" borderId="0" xfId="0" applyNumberFormat="1" applyFont="1" applyFill="1" applyBorder="1" applyAlignment="1">
      <alignment/>
    </xf>
    <xf numFmtId="37" fontId="8" fillId="0" borderId="0" xfId="0" applyNumberFormat="1" applyFont="1" applyFill="1" applyBorder="1" applyAlignment="1" applyProtection="1">
      <alignment/>
      <protection/>
    </xf>
    <xf numFmtId="44" fontId="8" fillId="0" borderId="0" xfId="17" applyFont="1" applyFill="1" applyBorder="1" applyAlignment="1" applyProtection="1">
      <alignment/>
      <protection/>
    </xf>
    <xf numFmtId="39" fontId="9" fillId="0" borderId="0" xfId="0" applyFont="1" applyBorder="1" applyAlignment="1">
      <alignment horizontal="centerContinuous"/>
    </xf>
    <xf numFmtId="0" fontId="9" fillId="0" borderId="0" xfId="0" applyNumberFormat="1" applyFont="1" applyFill="1" applyBorder="1" applyAlignment="1" quotePrefix="1">
      <alignment horizontal="center"/>
    </xf>
    <xf numFmtId="9" fontId="8" fillId="0" borderId="0" xfId="27" applyNumberFormat="1" applyFont="1" applyFill="1" applyBorder="1" applyAlignment="1">
      <alignment/>
    </xf>
    <xf numFmtId="42" fontId="8" fillId="0" borderId="0" xfId="17" applyNumberFormat="1" applyFont="1" applyFill="1" applyBorder="1" applyAlignment="1">
      <alignment/>
    </xf>
    <xf numFmtId="39" fontId="11" fillId="0" borderId="0" xfId="0" applyFont="1" applyBorder="1" applyAlignment="1">
      <alignment/>
    </xf>
    <xf numFmtId="15" fontId="9" fillId="0" borderId="0" xfId="0" applyNumberFormat="1" applyFont="1" applyBorder="1" applyAlignment="1" applyProtection="1" quotePrefix="1">
      <alignment horizontal="left"/>
      <protection/>
    </xf>
    <xf numFmtId="39" fontId="8" fillId="0" borderId="0" xfId="0" applyFont="1" applyFill="1" applyBorder="1" applyAlignment="1">
      <alignment/>
    </xf>
    <xf numFmtId="39" fontId="9" fillId="0" borderId="0" xfId="0" applyFont="1" applyFill="1" applyBorder="1" applyAlignment="1">
      <alignment/>
    </xf>
    <xf numFmtId="15" fontId="9" fillId="0" borderId="0" xfId="0" applyNumberFormat="1" applyFont="1" applyFill="1" applyBorder="1" applyAlignment="1" applyProtection="1" quotePrefix="1">
      <alignment horizontal="left"/>
      <protection/>
    </xf>
    <xf numFmtId="0" fontId="8" fillId="0" borderId="0" xfId="0" applyNumberFormat="1" applyFont="1" applyFill="1" applyBorder="1" applyAlignment="1" applyProtection="1">
      <alignment/>
      <protection/>
    </xf>
    <xf numFmtId="168" fontId="34" fillId="0" borderId="0" xfId="15"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39" fontId="0" fillId="0" borderId="0" xfId="0" applyAlignment="1">
      <alignment horizontal="center"/>
    </xf>
    <xf numFmtId="0" fontId="9" fillId="0" borderId="0" xfId="0" applyNumberFormat="1" applyFont="1" applyBorder="1" applyAlignment="1" quotePrefix="1">
      <alignment horizontal="center" wrapText="1"/>
    </xf>
    <xf numFmtId="39" fontId="9" fillId="0" borderId="0" xfId="0" applyFont="1" applyFill="1" applyBorder="1" applyAlignment="1">
      <alignment horizontal="left"/>
    </xf>
    <xf numFmtId="39" fontId="13" fillId="0" borderId="0" xfId="0" applyFont="1" applyBorder="1" applyAlignment="1">
      <alignment/>
    </xf>
    <xf numFmtId="0" fontId="8" fillId="0" borderId="0" xfId="23" applyFont="1" applyFill="1" applyBorder="1" applyAlignment="1">
      <alignment/>
      <protection/>
    </xf>
    <xf numFmtId="39" fontId="15" fillId="0" borderId="0" xfId="0" applyFont="1" applyFill="1" applyBorder="1" applyAlignment="1">
      <alignment/>
    </xf>
    <xf numFmtId="0" fontId="9" fillId="0" borderId="1" xfId="25" applyFont="1" applyBorder="1" applyAlignment="1" applyProtection="1" quotePrefix="1">
      <alignment horizontal="center"/>
      <protection/>
    </xf>
    <xf numFmtId="0" fontId="9" fillId="0" borderId="1" xfId="25" applyFont="1" applyFill="1" applyBorder="1" applyAlignment="1" applyProtection="1" quotePrefix="1">
      <alignment horizontal="center"/>
      <protection/>
    </xf>
    <xf numFmtId="43" fontId="9" fillId="0" borderId="1" xfId="15" applyFont="1" applyBorder="1" applyAlignment="1" quotePrefix="1">
      <alignment horizontal="center"/>
    </xf>
    <xf numFmtId="0" fontId="8" fillId="0" borderId="0" xfId="0" applyNumberFormat="1" applyFont="1" applyFill="1" applyBorder="1" applyAlignment="1">
      <alignment/>
    </xf>
    <xf numFmtId="49" fontId="9" fillId="0" borderId="1" xfId="0" applyNumberFormat="1" applyFont="1" applyBorder="1" applyAlignment="1">
      <alignment horizontal="center"/>
    </xf>
    <xf numFmtId="39" fontId="38" fillId="0" borderId="0" xfId="0" applyFont="1" applyBorder="1" applyAlignment="1">
      <alignment/>
    </xf>
    <xf numFmtId="0" fontId="8" fillId="0" borderId="0" xfId="0" applyNumberFormat="1" applyFont="1" applyBorder="1" applyAlignment="1">
      <alignment horizontal="left" wrapText="1"/>
    </xf>
    <xf numFmtId="39" fontId="8" fillId="0" borderId="0" xfId="0" applyFont="1" applyFill="1" applyAlignment="1">
      <alignment horizontal="right"/>
    </xf>
    <xf numFmtId="0" fontId="29" fillId="0" borderId="0" xfId="22" applyNumberFormat="1" applyFont="1" applyBorder="1" applyAlignment="1">
      <alignment/>
      <protection/>
    </xf>
    <xf numFmtId="44" fontId="8" fillId="0" borderId="5" xfId="23" applyNumberFormat="1" applyFont="1" applyFill="1" applyBorder="1" applyAlignment="1">
      <alignment/>
      <protection/>
    </xf>
    <xf numFmtId="0" fontId="8" fillId="0" borderId="0" xfId="23" applyNumberFormat="1" applyFont="1" applyBorder="1" applyAlignment="1">
      <alignment horizontal="left" wrapText="1"/>
      <protection/>
    </xf>
    <xf numFmtId="39" fontId="8" fillId="0" borderId="0" xfId="0" applyFont="1" applyAlignment="1">
      <alignment horizontal="center"/>
    </xf>
    <xf numFmtId="39" fontId="9" fillId="0" borderId="0" xfId="0" applyFont="1" applyAlignment="1">
      <alignment wrapText="1"/>
    </xf>
    <xf numFmtId="39" fontId="43" fillId="0" borderId="0" xfId="0" applyFont="1" applyAlignment="1">
      <alignment/>
    </xf>
    <xf numFmtId="9" fontId="8" fillId="0" borderId="1" xfId="27" applyFont="1" applyFill="1" applyBorder="1" applyAlignment="1">
      <alignment horizontal="right"/>
    </xf>
    <xf numFmtId="9" fontId="8" fillId="0" borderId="4" xfId="27" applyFont="1" applyFill="1" applyBorder="1" applyAlignment="1">
      <alignment/>
    </xf>
    <xf numFmtId="168" fontId="8" fillId="0" borderId="5" xfId="15" applyNumberFormat="1" applyFont="1" applyFill="1" applyBorder="1" applyAlignment="1">
      <alignment/>
    </xf>
    <xf numFmtId="42" fontId="8" fillId="0" borderId="0" xfId="17" applyNumberFormat="1" applyFont="1" applyFill="1" applyAlignment="1">
      <alignment horizontal="right"/>
    </xf>
    <xf numFmtId="168" fontId="8" fillId="0" borderId="3" xfId="15" applyNumberFormat="1" applyFont="1" applyFill="1" applyBorder="1" applyAlignment="1">
      <alignment/>
    </xf>
    <xf numFmtId="168" fontId="8" fillId="0" borderId="5" xfId="15" applyNumberFormat="1" applyFont="1" applyFill="1" applyBorder="1" applyAlignment="1">
      <alignment/>
    </xf>
    <xf numFmtId="39" fontId="9" fillId="0" borderId="0" xfId="0" applyFont="1" applyAlignment="1" quotePrefix="1">
      <alignment horizontal="center"/>
    </xf>
    <xf numFmtId="168" fontId="1" fillId="0" borderId="0" xfId="15" applyNumberFormat="1" applyFont="1" applyFill="1" applyAlignment="1">
      <alignment/>
    </xf>
    <xf numFmtId="168" fontId="1" fillId="0" borderId="0" xfId="15" applyNumberFormat="1" applyFont="1" applyAlignment="1">
      <alignment horizontal="left"/>
    </xf>
    <xf numFmtId="168" fontId="1" fillId="0" borderId="0" xfId="15" applyNumberFormat="1" applyFont="1" applyAlignment="1">
      <alignment/>
    </xf>
    <xf numFmtId="0" fontId="9" fillId="0" borderId="1" xfId="0" applyNumberFormat="1" applyFont="1" applyBorder="1" applyAlignment="1">
      <alignment horizontal="left"/>
    </xf>
    <xf numFmtId="49" fontId="9" fillId="0" borderId="0" xfId="0" applyNumberFormat="1" applyFont="1" applyBorder="1" applyAlignment="1">
      <alignment horizontal="center"/>
    </xf>
    <xf numFmtId="16" fontId="29" fillId="0" borderId="1" xfId="0" applyNumberFormat="1" applyFont="1" applyBorder="1" applyAlignment="1" applyProtection="1">
      <alignment/>
      <protection/>
    </xf>
    <xf numFmtId="0" fontId="8" fillId="0" borderId="0" xfId="0" applyNumberFormat="1" applyFont="1" applyAlignment="1" applyProtection="1" quotePrefix="1">
      <alignment/>
      <protection/>
    </xf>
    <xf numFmtId="39" fontId="38" fillId="0" borderId="0" xfId="0" applyFont="1" applyAlignment="1">
      <alignment/>
    </xf>
    <xf numFmtId="39" fontId="16" fillId="0" borderId="0" xfId="0" applyFont="1" applyAlignment="1">
      <alignment/>
    </xf>
    <xf numFmtId="37" fontId="0" fillId="0" borderId="0" xfId="0" applyNumberFormat="1" applyAlignment="1">
      <alignment/>
    </xf>
    <xf numFmtId="37" fontId="8" fillId="0" borderId="6" xfId="0" applyNumberFormat="1" applyFont="1" applyFill="1" applyBorder="1" applyAlignment="1">
      <alignment/>
    </xf>
    <xf numFmtId="39" fontId="8" fillId="0" borderId="6" xfId="0" applyFont="1" applyBorder="1" applyAlignment="1">
      <alignment/>
    </xf>
    <xf numFmtId="9" fontId="8" fillId="0" borderId="0" xfId="27" applyNumberFormat="1" applyFont="1" applyAlignment="1">
      <alignment/>
    </xf>
    <xf numFmtId="164" fontId="8" fillId="0" borderId="0" xfId="0" applyNumberFormat="1" applyFont="1" applyFill="1" applyBorder="1" applyAlignment="1">
      <alignment/>
    </xf>
    <xf numFmtId="41" fontId="8" fillId="0" borderId="0" xfId="0" applyNumberFormat="1" applyFont="1" applyBorder="1" applyAlignment="1">
      <alignment horizontal="center"/>
    </xf>
    <xf numFmtId="0" fontId="9" fillId="0" borderId="0" xfId="23" applyNumberFormat="1" applyFont="1" applyFill="1" applyAlignment="1">
      <alignment vertical="center"/>
      <protection/>
    </xf>
    <xf numFmtId="39" fontId="10" fillId="0" borderId="0" xfId="0" applyFont="1" applyBorder="1" applyAlignment="1">
      <alignment/>
    </xf>
    <xf numFmtId="0" fontId="10" fillId="0" borderId="0" xfId="23" applyNumberFormat="1" applyFont="1" applyAlignment="1">
      <alignment/>
      <protection/>
    </xf>
    <xf numFmtId="0" fontId="10" fillId="0" borderId="0" xfId="0" applyNumberFormat="1" applyFont="1" applyAlignment="1" applyProtection="1">
      <alignment/>
      <protection/>
    </xf>
    <xf numFmtId="0" fontId="9" fillId="0" borderId="0" xfId="0" applyNumberFormat="1" applyFont="1" applyAlignment="1" applyProtection="1">
      <alignment/>
      <protection/>
    </xf>
    <xf numFmtId="0" fontId="7" fillId="0" borderId="0" xfId="23" applyNumberFormat="1" applyFont="1" applyAlignment="1">
      <alignment/>
      <protection/>
    </xf>
    <xf numFmtId="49" fontId="18" fillId="0" borderId="0" xfId="15" applyNumberFormat="1" applyFont="1" applyFill="1" applyBorder="1" applyAlignment="1">
      <alignment/>
    </xf>
    <xf numFmtId="166" fontId="18" fillId="0" borderId="0" xfId="27" applyNumberFormat="1" applyFont="1" applyFill="1" applyBorder="1" applyAlignment="1">
      <alignment/>
    </xf>
    <xf numFmtId="9" fontId="8" fillId="0" borderId="0" xfId="17" applyNumberFormat="1" applyFont="1" applyFill="1" applyBorder="1" applyAlignment="1">
      <alignment/>
    </xf>
    <xf numFmtId="0" fontId="20" fillId="0" borderId="0" xfId="20" applyNumberFormat="1" applyFont="1" applyFill="1" applyAlignment="1">
      <alignment/>
    </xf>
    <xf numFmtId="39" fontId="13" fillId="0" borderId="0" xfId="0" applyFont="1" applyFill="1" applyAlignment="1">
      <alignment/>
    </xf>
    <xf numFmtId="9" fontId="13" fillId="0" borderId="0" xfId="27" applyFont="1" applyAlignment="1">
      <alignment/>
    </xf>
    <xf numFmtId="9" fontId="13" fillId="0" borderId="0" xfId="27" applyFont="1" applyBorder="1" applyAlignment="1">
      <alignment/>
    </xf>
    <xf numFmtId="9" fontId="22" fillId="0" borderId="0" xfId="27" applyFont="1" applyAlignment="1">
      <alignment/>
    </xf>
    <xf numFmtId="172" fontId="44" fillId="0" borderId="0" xfId="0" applyNumberFormat="1" applyFont="1" applyAlignment="1">
      <alignment/>
    </xf>
    <xf numFmtId="168" fontId="29" fillId="0" borderId="0" xfId="15" applyNumberFormat="1" applyFont="1" applyAlignment="1">
      <alignment/>
    </xf>
    <xf numFmtId="39" fontId="7" fillId="0" borderId="0" xfId="0" applyFont="1" applyAlignment="1">
      <alignment horizontal="left"/>
    </xf>
    <xf numFmtId="176" fontId="9" fillId="0" borderId="0" xfId="0" applyNumberFormat="1" applyFont="1" applyBorder="1" applyAlignment="1">
      <alignment horizontal="center"/>
    </xf>
    <xf numFmtId="167" fontId="8" fillId="0" borderId="0" xfId="17" applyNumberFormat="1" applyFont="1" applyAlignment="1">
      <alignment/>
    </xf>
    <xf numFmtId="0" fontId="8" fillId="0" borderId="0" xfId="26" applyFont="1">
      <alignment/>
      <protection/>
    </xf>
    <xf numFmtId="37" fontId="8" fillId="0" borderId="0" xfId="26" applyNumberFormat="1" applyFont="1" applyFill="1">
      <alignment/>
      <protection/>
    </xf>
    <xf numFmtId="0" fontId="8" fillId="0" borderId="0" xfId="26" applyFont="1" applyAlignment="1">
      <alignment wrapText="1"/>
      <protection/>
    </xf>
    <xf numFmtId="37" fontId="8" fillId="0" borderId="0" xfId="26" applyNumberFormat="1" applyFont="1">
      <alignment/>
      <protection/>
    </xf>
    <xf numFmtId="39" fontId="0" fillId="0" borderId="0" xfId="0" applyAlignment="1">
      <alignment wrapText="1"/>
    </xf>
    <xf numFmtId="39" fontId="9" fillId="0" borderId="0" xfId="0" applyFont="1" applyFill="1" applyBorder="1" applyAlignment="1">
      <alignment vertical="top" wrapText="1"/>
    </xf>
    <xf numFmtId="39" fontId="9" fillId="0" borderId="0" xfId="0" applyFont="1" applyBorder="1" applyAlignment="1">
      <alignment vertical="top" wrapText="1"/>
    </xf>
    <xf numFmtId="39" fontId="0" fillId="0" borderId="0" xfId="0" applyFont="1" applyFill="1" applyAlignment="1">
      <alignment wrapText="1"/>
    </xf>
    <xf numFmtId="0" fontId="9" fillId="0" borderId="0" xfId="23" applyNumberFormat="1" applyFont="1" applyFill="1" applyAlignment="1">
      <alignment horizontal="center" vertical="center"/>
      <protection/>
    </xf>
    <xf numFmtId="0" fontId="20" fillId="0" borderId="0" xfId="0" applyNumberFormat="1" applyFont="1" applyFill="1" applyBorder="1" applyAlignment="1" applyProtection="1">
      <alignment vertical="top" wrapText="1"/>
      <protection/>
    </xf>
    <xf numFmtId="39" fontId="20" fillId="0" borderId="0" xfId="0" applyFont="1" applyAlignment="1">
      <alignment vertical="top" wrapText="1"/>
    </xf>
    <xf numFmtId="39" fontId="19" fillId="0" borderId="0" xfId="0" applyFont="1" applyAlignment="1">
      <alignment vertical="top" wrapText="1"/>
    </xf>
    <xf numFmtId="0" fontId="7" fillId="0" borderId="0" xfId="23" applyNumberFormat="1" applyFont="1" applyFill="1" applyAlignment="1">
      <alignment horizontal="center" vertical="center"/>
      <protection/>
    </xf>
    <xf numFmtId="0" fontId="9" fillId="0" borderId="0" xfId="23" applyNumberFormat="1" applyFont="1" applyFill="1" applyAlignment="1">
      <alignment horizontal="center" vertical="center"/>
      <protection/>
    </xf>
    <xf numFmtId="0" fontId="10" fillId="0" borderId="0" xfId="23" applyNumberFormat="1" applyFont="1" applyFill="1" applyAlignment="1">
      <alignment horizontal="center" vertical="center"/>
      <protection/>
    </xf>
    <xf numFmtId="39" fontId="19" fillId="0" borderId="0" xfId="0" applyFont="1" applyFill="1" applyAlignment="1">
      <alignment horizontal="left" vertical="center" wrapText="1"/>
    </xf>
    <xf numFmtId="39" fontId="20" fillId="0" borderId="0" xfId="0" applyFont="1" applyFill="1" applyAlignment="1">
      <alignment horizontal="left" vertical="center" wrapText="1"/>
    </xf>
    <xf numFmtId="39" fontId="19" fillId="0" borderId="0" xfId="0" applyFont="1" applyFill="1" applyAlignment="1">
      <alignment horizontal="left" vertical="center" wrapText="1"/>
    </xf>
    <xf numFmtId="176" fontId="9" fillId="0" borderId="1" xfId="0" applyNumberFormat="1" applyFont="1" applyFill="1" applyBorder="1" applyAlignment="1" quotePrefix="1">
      <alignment horizontal="center"/>
    </xf>
    <xf numFmtId="176" fontId="9" fillId="0" borderId="1" xfId="0" applyNumberFormat="1" applyFont="1" applyFill="1" applyBorder="1" applyAlignment="1">
      <alignment horizontal="center"/>
    </xf>
    <xf numFmtId="39" fontId="8" fillId="0" borderId="0" xfId="0" applyFont="1" applyFill="1" applyAlignment="1" quotePrefix="1">
      <alignment horizontal="left" wrapText="1"/>
    </xf>
    <xf numFmtId="39" fontId="8" fillId="0" borderId="0" xfId="0" applyFont="1" applyFill="1" applyAlignment="1">
      <alignment horizontal="left" wrapText="1"/>
    </xf>
    <xf numFmtId="39" fontId="8" fillId="0" borderId="0" xfId="0" applyFont="1" applyAlignment="1">
      <alignment vertical="top" wrapText="1"/>
    </xf>
    <xf numFmtId="39" fontId="15" fillId="0" borderId="0" xfId="0" applyFont="1" applyAlignment="1">
      <alignment vertical="top" wrapText="1"/>
    </xf>
    <xf numFmtId="39" fontId="15" fillId="0" borderId="0" xfId="0" applyFont="1" applyAlignment="1">
      <alignment wrapText="1"/>
    </xf>
    <xf numFmtId="39" fontId="13" fillId="0" borderId="0" xfId="0" applyFont="1" applyAlignment="1">
      <alignment horizontal="left" vertical="top" wrapText="1"/>
    </xf>
    <xf numFmtId="39" fontId="13" fillId="0" borderId="0" xfId="0" applyFont="1" applyAlignment="1">
      <alignment vertical="top" wrapText="1"/>
    </xf>
    <xf numFmtId="0" fontId="9" fillId="0" borderId="0" xfId="0" applyNumberFormat="1" applyFont="1" applyAlignment="1">
      <alignment horizontal="left"/>
    </xf>
    <xf numFmtId="0" fontId="2" fillId="0" borderId="0" xfId="0" applyNumberFormat="1" applyFont="1" applyAlignment="1">
      <alignment horizontal="left"/>
    </xf>
    <xf numFmtId="39" fontId="8" fillId="0" borderId="0" xfId="0" applyFont="1" applyAlignment="1">
      <alignment wrapText="1"/>
    </xf>
    <xf numFmtId="39" fontId="22" fillId="0" borderId="0" xfId="0" applyFont="1" applyAlignment="1">
      <alignment horizontal="left" vertical="top" wrapText="1"/>
    </xf>
    <xf numFmtId="39" fontId="9" fillId="0" borderId="0" xfId="0" applyFont="1" applyAlignment="1">
      <alignment horizontal="center" wrapText="1"/>
    </xf>
    <xf numFmtId="39" fontId="15" fillId="0" borderId="0" xfId="0" applyFont="1" applyAlignment="1">
      <alignment/>
    </xf>
    <xf numFmtId="39" fontId="20" fillId="0" borderId="0" xfId="0" applyFont="1" applyAlignment="1">
      <alignment horizontal="left" wrapText="1"/>
    </xf>
    <xf numFmtId="39" fontId="9" fillId="0" borderId="0" xfId="0" applyNumberFormat="1" applyFont="1" applyBorder="1" applyAlignment="1">
      <alignment horizontal="center"/>
    </xf>
    <xf numFmtId="0" fontId="9" fillId="0" borderId="0" xfId="0" applyNumberFormat="1" applyFont="1" applyBorder="1" applyAlignment="1">
      <alignment horizontal="center"/>
    </xf>
    <xf numFmtId="39" fontId="10" fillId="0" borderId="0" xfId="0" applyFont="1" applyAlignment="1">
      <alignment horizontal="center"/>
    </xf>
    <xf numFmtId="39" fontId="9" fillId="0" borderId="0" xfId="0" applyFont="1" applyAlignment="1">
      <alignment horizontal="center"/>
    </xf>
    <xf numFmtId="39" fontId="7" fillId="0" borderId="0" xfId="0" applyFont="1" applyAlignment="1">
      <alignment horizontal="center"/>
    </xf>
    <xf numFmtId="39" fontId="10" fillId="0" borderId="0" xfId="0" applyFont="1" applyFill="1" applyAlignment="1">
      <alignment horizontal="center"/>
    </xf>
    <xf numFmtId="0" fontId="7" fillId="0" borderId="0" xfId="0" applyNumberFormat="1" applyFont="1" applyAlignment="1" applyProtection="1">
      <alignment horizontal="center"/>
      <protection/>
    </xf>
    <xf numFmtId="0" fontId="10" fillId="0" borderId="0" xfId="0" applyNumberFormat="1" applyFont="1" applyAlignment="1" applyProtection="1">
      <alignment horizontal="center"/>
      <protection/>
    </xf>
    <xf numFmtId="0" fontId="9" fillId="0" borderId="0" xfId="0" applyNumberFormat="1" applyFont="1" applyAlignment="1" applyProtection="1">
      <alignment horizontal="center"/>
      <protection/>
    </xf>
    <xf numFmtId="169" fontId="9" fillId="0" borderId="0" xfId="0" applyNumberFormat="1" applyFont="1" applyAlignment="1" applyProtection="1">
      <alignment horizontal="center"/>
      <protection/>
    </xf>
    <xf numFmtId="39" fontId="13" fillId="0" borderId="0" xfId="0" applyFont="1" applyFill="1" applyBorder="1" applyAlignment="1">
      <alignment horizontal="left" wrapText="1"/>
    </xf>
    <xf numFmtId="39" fontId="20" fillId="0" borderId="0" xfId="0" applyFont="1" applyFill="1" applyBorder="1" applyAlignment="1">
      <alignment horizontal="left" wrapText="1"/>
    </xf>
    <xf numFmtId="39" fontId="9" fillId="0" borderId="0" xfId="0" applyFont="1" applyAlignment="1">
      <alignment horizontal="center"/>
    </xf>
    <xf numFmtId="39" fontId="9" fillId="0" borderId="4" xfId="0" applyFont="1" applyBorder="1" applyAlignment="1">
      <alignment horizontal="center"/>
    </xf>
    <xf numFmtId="39" fontId="15" fillId="0" borderId="4" xfId="0" applyFont="1" applyBorder="1" applyAlignment="1">
      <alignment horizontal="center"/>
    </xf>
    <xf numFmtId="39" fontId="20" fillId="0" borderId="0" xfId="0" applyFont="1" applyFill="1" applyAlignment="1">
      <alignment horizontal="left" vertical="top" wrapText="1"/>
    </xf>
    <xf numFmtId="39" fontId="19" fillId="0" borderId="0" xfId="0" applyFont="1" applyFill="1" applyAlignment="1">
      <alignment horizontal="left" vertical="top" wrapText="1"/>
    </xf>
    <xf numFmtId="39" fontId="7" fillId="0" borderId="0" xfId="0" applyFont="1" applyAlignment="1">
      <alignment horizontal="center" wrapText="1"/>
    </xf>
    <xf numFmtId="39" fontId="10" fillId="0" borderId="0" xfId="0" applyFont="1" applyAlignment="1">
      <alignment horizontal="center" wrapText="1"/>
    </xf>
    <xf numFmtId="39" fontId="14" fillId="0" borderId="0" xfId="0" applyFont="1" applyAlignment="1">
      <alignment horizontal="left"/>
    </xf>
    <xf numFmtId="39" fontId="9" fillId="0" borderId="1" xfId="0" applyFont="1" applyBorder="1" applyAlignment="1" quotePrefix="1">
      <alignment horizontal="center"/>
    </xf>
    <xf numFmtId="39" fontId="0" fillId="0" borderId="1" xfId="0" applyBorder="1" applyAlignment="1">
      <alignment horizontal="center"/>
    </xf>
    <xf numFmtId="39" fontId="20" fillId="0" borderId="0" xfId="21" applyFont="1" applyFill="1" applyAlignment="1">
      <alignment wrapText="1"/>
      <protection/>
    </xf>
    <xf numFmtId="39" fontId="0" fillId="0" borderId="0" xfId="0" applyAlignment="1">
      <alignment wrapText="1"/>
    </xf>
    <xf numFmtId="39" fontId="0" fillId="0" borderId="0" xfId="0" applyFill="1" applyAlignment="1">
      <alignment wrapText="1"/>
    </xf>
    <xf numFmtId="39" fontId="9" fillId="0" borderId="0" xfId="0" applyFont="1" applyAlignment="1" quotePrefix="1">
      <alignment horizontal="center"/>
    </xf>
    <xf numFmtId="39" fontId="20" fillId="0" borderId="0" xfId="0" applyFont="1" applyFill="1" applyAlignment="1">
      <alignment horizontal="left" wrapText="1"/>
    </xf>
    <xf numFmtId="0" fontId="10" fillId="0" borderId="0" xfId="23" applyNumberFormat="1" applyFont="1" applyAlignment="1">
      <alignment horizontal="center"/>
      <protection/>
    </xf>
    <xf numFmtId="0" fontId="7" fillId="0" borderId="0" xfId="23" applyNumberFormat="1" applyFont="1" applyAlignment="1">
      <alignment horizontal="center"/>
      <protection/>
    </xf>
    <xf numFmtId="0" fontId="9" fillId="0" borderId="0" xfId="23" applyNumberFormat="1" applyFont="1" applyAlignment="1">
      <alignment horizontal="center"/>
      <protection/>
    </xf>
    <xf numFmtId="39" fontId="43" fillId="0" borderId="0" xfId="0" applyFont="1" applyAlignment="1">
      <alignment horizontal="left" wrapText="1"/>
    </xf>
    <xf numFmtId="39" fontId="8" fillId="0" borderId="0" xfId="0" applyFont="1" applyAlignment="1">
      <alignment horizontal="center"/>
    </xf>
    <xf numFmtId="39" fontId="8" fillId="0" borderId="0" xfId="0" applyFont="1" applyAlignment="1">
      <alignment horizontal="left" vertical="top" wrapText="1"/>
    </xf>
    <xf numFmtId="39" fontId="10" fillId="0" borderId="0" xfId="0" applyFont="1" applyBorder="1" applyAlignment="1">
      <alignment horizontal="center"/>
    </xf>
    <xf numFmtId="39" fontId="9" fillId="0" borderId="0" xfId="0" applyFont="1" applyFill="1" applyBorder="1" applyAlignment="1">
      <alignment vertical="top" wrapText="1"/>
    </xf>
    <xf numFmtId="39" fontId="0" fillId="0" borderId="0" xfId="0" applyAlignment="1">
      <alignment vertical="top" wrapText="1"/>
    </xf>
    <xf numFmtId="39" fontId="0" fillId="0" borderId="0" xfId="0" applyFill="1" applyAlignment="1">
      <alignment vertical="top" wrapText="1"/>
    </xf>
    <xf numFmtId="39" fontId="8" fillId="0" borderId="0" xfId="0" applyFont="1" applyFill="1" applyBorder="1" applyAlignment="1">
      <alignment vertical="top" wrapText="1"/>
    </xf>
  </cellXfs>
  <cellStyles count="14">
    <cellStyle name="Normal" xfId="0"/>
    <cellStyle name="Comma" xfId="15"/>
    <cellStyle name="Comma [0]" xfId="16"/>
    <cellStyle name="Currency" xfId="17"/>
    <cellStyle name="Currency [0]" xfId="18"/>
    <cellStyle name="Followed Hyperlink" xfId="19"/>
    <cellStyle name="Hyperlink" xfId="20"/>
    <cellStyle name="Normal_ACE Financial Supplement March 2004" xfId="21"/>
    <cellStyle name="Normal_ACFS1204" xfId="22"/>
    <cellStyle name="Normal_EPS" xfId="23"/>
    <cellStyle name="Normal_INCSTMT" xfId="24"/>
    <cellStyle name="Normal_SHEQ" xfId="25"/>
    <cellStyle name="Normal_SuppPage" xfId="26"/>
    <cellStyle name="Percent" xfId="27"/>
  </cellStyles>
  <dxfs count="3">
    <dxf>
      <font>
        <color rgb="FFFF0000"/>
      </font>
      <border/>
    </dxf>
    <dxf>
      <fill>
        <patternFill>
          <bgColor rgb="FF0000FF"/>
        </patternFill>
      </fill>
      <border/>
    </dxf>
    <dxf>
      <font>
        <b/>
        <i/>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247650</xdr:colOff>
      <xdr:row>0</xdr:row>
      <xdr:rowOff>142875</xdr:rowOff>
    </xdr:from>
    <xdr:to>
      <xdr:col>2</xdr:col>
      <xdr:colOff>1133475</xdr:colOff>
      <xdr:row>5</xdr:row>
      <xdr:rowOff>47625</xdr:rowOff>
    </xdr:to>
    <xdr:pic>
      <xdr:nvPicPr>
        <xdr:cNvPr id="1" name="Picture 4"/>
        <xdr:cNvPicPr preferRelativeResize="1">
          <a:picLocks noChangeAspect="0"/>
        </xdr:cNvPicPr>
      </xdr:nvPicPr>
      <xdr:blipFill>
        <a:blip r:embed="rId1"/>
        <a:stretch>
          <a:fillRect/>
        </a:stretch>
      </xdr:blipFill>
      <xdr:spPr>
        <a:xfrm>
          <a:off x="247650" y="142875"/>
          <a:ext cx="1724025" cy="714375"/>
        </a:xfrm>
        <a:prstGeom prst="rect">
          <a:avLst/>
        </a:prstGeom>
        <a:noFill/>
        <a:ln w="9525" cmpd="sng">
          <a:noFill/>
        </a:ln>
      </xdr:spPr>
    </xdr:pic>
    <xdr:clientData/>
  </xdr:twoCellAnchor>
  <xdr:twoCellAnchor>
    <xdr:from>
      <xdr:col>0</xdr:col>
      <xdr:colOff>0</xdr:colOff>
      <xdr:row>8</xdr:row>
      <xdr:rowOff>9525</xdr:rowOff>
    </xdr:from>
    <xdr:to>
      <xdr:col>2</xdr:col>
      <xdr:colOff>295275</xdr:colOff>
      <xdr:row>14</xdr:row>
      <xdr:rowOff>47625</xdr:rowOff>
    </xdr:to>
    <xdr:sp>
      <xdr:nvSpPr>
        <xdr:cNvPr id="2" name="Rectangle 2"/>
        <xdr:cNvSpPr>
          <a:spLocks/>
        </xdr:cNvSpPr>
      </xdr:nvSpPr>
      <xdr:spPr>
        <a:xfrm>
          <a:off x="0" y="1343025"/>
          <a:ext cx="1133475" cy="1019175"/>
        </a:xfrm>
        <a:prstGeom prst="rect">
          <a:avLst/>
        </a:prstGeom>
        <a:solidFill>
          <a:srgbClr val="7FBA00"/>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238125</xdr:colOff>
      <xdr:row>14</xdr:row>
      <xdr:rowOff>47625</xdr:rowOff>
    </xdr:from>
    <xdr:to>
      <xdr:col>2</xdr:col>
      <xdr:colOff>676275</xdr:colOff>
      <xdr:row>19</xdr:row>
      <xdr:rowOff>0</xdr:rowOff>
    </xdr:to>
    <xdr:sp>
      <xdr:nvSpPr>
        <xdr:cNvPr id="3" name="Rectangle 3"/>
        <xdr:cNvSpPr>
          <a:spLocks/>
        </xdr:cNvSpPr>
      </xdr:nvSpPr>
      <xdr:spPr>
        <a:xfrm>
          <a:off x="752475" y="2362200"/>
          <a:ext cx="762000" cy="1114425"/>
        </a:xfrm>
        <a:prstGeom prst="rect">
          <a:avLst/>
        </a:prstGeom>
        <a:solidFill>
          <a:srgbClr val="003F87"/>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9525</xdr:rowOff>
    </xdr:from>
    <xdr:to>
      <xdr:col>2</xdr:col>
      <xdr:colOff>504825</xdr:colOff>
      <xdr:row>3</xdr:row>
      <xdr:rowOff>85725</xdr:rowOff>
    </xdr:to>
    <xdr:pic>
      <xdr:nvPicPr>
        <xdr:cNvPr id="1" name="Picture 1"/>
        <xdr:cNvPicPr preferRelativeResize="1">
          <a:picLocks noChangeAspect="1"/>
        </xdr:cNvPicPr>
      </xdr:nvPicPr>
      <xdr:blipFill>
        <a:blip r:embed="rId1"/>
        <a:srcRect r="60145" b="33332"/>
        <a:stretch>
          <a:fillRect/>
        </a:stretch>
      </xdr:blipFill>
      <xdr:spPr>
        <a:xfrm>
          <a:off x="190500" y="9525"/>
          <a:ext cx="695325" cy="5429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9525</xdr:rowOff>
    </xdr:from>
    <xdr:to>
      <xdr:col>2</xdr:col>
      <xdr:colOff>504825</xdr:colOff>
      <xdr:row>3</xdr:row>
      <xdr:rowOff>85725</xdr:rowOff>
    </xdr:to>
    <xdr:pic>
      <xdr:nvPicPr>
        <xdr:cNvPr id="1" name="Picture 1"/>
        <xdr:cNvPicPr preferRelativeResize="1">
          <a:picLocks noChangeAspect="1"/>
        </xdr:cNvPicPr>
      </xdr:nvPicPr>
      <xdr:blipFill>
        <a:blip r:embed="rId1"/>
        <a:srcRect r="60145" b="33332"/>
        <a:stretch>
          <a:fillRect/>
        </a:stretch>
      </xdr:blipFill>
      <xdr:spPr>
        <a:xfrm>
          <a:off x="190500" y="9525"/>
          <a:ext cx="695325" cy="542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9525</xdr:rowOff>
    </xdr:from>
    <xdr:to>
      <xdr:col>2</xdr:col>
      <xdr:colOff>504825</xdr:colOff>
      <xdr:row>3</xdr:row>
      <xdr:rowOff>85725</xdr:rowOff>
    </xdr:to>
    <xdr:pic>
      <xdr:nvPicPr>
        <xdr:cNvPr id="1" name="Picture 1"/>
        <xdr:cNvPicPr preferRelativeResize="1">
          <a:picLocks noChangeAspect="0"/>
        </xdr:cNvPicPr>
      </xdr:nvPicPr>
      <xdr:blipFill>
        <a:blip r:embed="rId1"/>
        <a:srcRect r="60145" b="33332"/>
        <a:stretch>
          <a:fillRect/>
        </a:stretch>
      </xdr:blipFill>
      <xdr:spPr>
        <a:xfrm>
          <a:off x="190500" y="9525"/>
          <a:ext cx="695325" cy="5429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9525</xdr:rowOff>
    </xdr:from>
    <xdr:to>
      <xdr:col>2</xdr:col>
      <xdr:colOff>504825</xdr:colOff>
      <xdr:row>3</xdr:row>
      <xdr:rowOff>85725</xdr:rowOff>
    </xdr:to>
    <xdr:pic>
      <xdr:nvPicPr>
        <xdr:cNvPr id="1" name="Picture 1"/>
        <xdr:cNvPicPr preferRelativeResize="1">
          <a:picLocks noChangeAspect="1"/>
        </xdr:cNvPicPr>
      </xdr:nvPicPr>
      <xdr:blipFill>
        <a:blip r:embed="rId1"/>
        <a:srcRect r="60145" b="33332"/>
        <a:stretch>
          <a:fillRect/>
        </a:stretch>
      </xdr:blipFill>
      <xdr:spPr>
        <a:xfrm>
          <a:off x="190500" y="9525"/>
          <a:ext cx="695325" cy="5429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2</xdr:col>
      <xdr:colOff>504825</xdr:colOff>
      <xdr:row>3</xdr:row>
      <xdr:rowOff>85725</xdr:rowOff>
    </xdr:to>
    <xdr:pic>
      <xdr:nvPicPr>
        <xdr:cNvPr id="1" name="Picture 1"/>
        <xdr:cNvPicPr preferRelativeResize="1">
          <a:picLocks noChangeAspect="0"/>
        </xdr:cNvPicPr>
      </xdr:nvPicPr>
      <xdr:blipFill>
        <a:blip r:embed="rId1"/>
        <a:srcRect r="60145" b="33332"/>
        <a:stretch>
          <a:fillRect/>
        </a:stretch>
      </xdr:blipFill>
      <xdr:spPr>
        <a:xfrm>
          <a:off x="190500" y="9525"/>
          <a:ext cx="695325" cy="5429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9525</xdr:rowOff>
    </xdr:from>
    <xdr:to>
      <xdr:col>2</xdr:col>
      <xdr:colOff>504825</xdr:colOff>
      <xdr:row>3</xdr:row>
      <xdr:rowOff>85725</xdr:rowOff>
    </xdr:to>
    <xdr:pic>
      <xdr:nvPicPr>
        <xdr:cNvPr id="1" name="Picture 1"/>
        <xdr:cNvPicPr preferRelativeResize="1">
          <a:picLocks noChangeAspect="1"/>
        </xdr:cNvPicPr>
      </xdr:nvPicPr>
      <xdr:blipFill>
        <a:blip r:embed="rId1"/>
        <a:srcRect r="60145" b="33332"/>
        <a:stretch>
          <a:fillRect/>
        </a:stretch>
      </xdr:blipFill>
      <xdr:spPr>
        <a:xfrm>
          <a:off x="190500" y="9525"/>
          <a:ext cx="695325" cy="5429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2</xdr:col>
      <xdr:colOff>504825</xdr:colOff>
      <xdr:row>3</xdr:row>
      <xdr:rowOff>76200</xdr:rowOff>
    </xdr:to>
    <xdr:pic>
      <xdr:nvPicPr>
        <xdr:cNvPr id="1" name="Picture 1"/>
        <xdr:cNvPicPr preferRelativeResize="1">
          <a:picLocks noChangeAspect="1"/>
        </xdr:cNvPicPr>
      </xdr:nvPicPr>
      <xdr:blipFill>
        <a:blip r:embed="rId1"/>
        <a:srcRect r="60145" b="33332"/>
        <a:stretch>
          <a:fillRect/>
        </a:stretch>
      </xdr:blipFill>
      <xdr:spPr>
        <a:xfrm>
          <a:off x="190500" y="9525"/>
          <a:ext cx="695325" cy="5143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1</xdr:col>
      <xdr:colOff>695325</xdr:colOff>
      <xdr:row>3</xdr:row>
      <xdr:rowOff>104775</xdr:rowOff>
    </xdr:to>
    <xdr:pic>
      <xdr:nvPicPr>
        <xdr:cNvPr id="1" name="Picture 5"/>
        <xdr:cNvPicPr preferRelativeResize="1">
          <a:picLocks noChangeAspect="1"/>
        </xdr:cNvPicPr>
      </xdr:nvPicPr>
      <xdr:blipFill>
        <a:blip r:embed="rId1"/>
        <a:srcRect r="60145" b="33332"/>
        <a:stretch>
          <a:fillRect/>
        </a:stretch>
      </xdr:blipFill>
      <xdr:spPr>
        <a:xfrm>
          <a:off x="190500" y="9525"/>
          <a:ext cx="695325" cy="5619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9525</xdr:rowOff>
    </xdr:from>
    <xdr:to>
      <xdr:col>2</xdr:col>
      <xdr:colOff>514350</xdr:colOff>
      <xdr:row>3</xdr:row>
      <xdr:rowOff>95250</xdr:rowOff>
    </xdr:to>
    <xdr:pic>
      <xdr:nvPicPr>
        <xdr:cNvPr id="1" name="Picture 2"/>
        <xdr:cNvPicPr preferRelativeResize="1">
          <a:picLocks noChangeAspect="0"/>
        </xdr:cNvPicPr>
      </xdr:nvPicPr>
      <xdr:blipFill>
        <a:blip r:embed="rId1"/>
        <a:srcRect r="60145" b="33332"/>
        <a:stretch>
          <a:fillRect/>
        </a:stretch>
      </xdr:blipFill>
      <xdr:spPr>
        <a:xfrm>
          <a:off x="200025" y="9525"/>
          <a:ext cx="695325" cy="5524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9525</xdr:rowOff>
    </xdr:from>
    <xdr:to>
      <xdr:col>2</xdr:col>
      <xdr:colOff>523875</xdr:colOff>
      <xdr:row>3</xdr:row>
      <xdr:rowOff>38100</xdr:rowOff>
    </xdr:to>
    <xdr:pic>
      <xdr:nvPicPr>
        <xdr:cNvPr id="1" name="Picture 12"/>
        <xdr:cNvPicPr preferRelativeResize="1">
          <a:picLocks noChangeAspect="0"/>
        </xdr:cNvPicPr>
      </xdr:nvPicPr>
      <xdr:blipFill>
        <a:blip r:embed="rId1"/>
        <a:srcRect r="60145" b="33332"/>
        <a:stretch>
          <a:fillRect/>
        </a:stretch>
      </xdr:blipFill>
      <xdr:spPr>
        <a:xfrm>
          <a:off x="209550" y="9525"/>
          <a:ext cx="6953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9525</xdr:rowOff>
    </xdr:from>
    <xdr:to>
      <xdr:col>2</xdr:col>
      <xdr:colOff>38100</xdr:colOff>
      <xdr:row>3</xdr:row>
      <xdr:rowOff>38100</xdr:rowOff>
    </xdr:to>
    <xdr:pic>
      <xdr:nvPicPr>
        <xdr:cNvPr id="1" name="Picture 1"/>
        <xdr:cNvPicPr preferRelativeResize="1">
          <a:picLocks noChangeAspect="1"/>
        </xdr:cNvPicPr>
      </xdr:nvPicPr>
      <xdr:blipFill>
        <a:blip r:embed="rId1"/>
        <a:srcRect r="60145" b="33332"/>
        <a:stretch>
          <a:fillRect/>
        </a:stretch>
      </xdr:blipFill>
      <xdr:spPr>
        <a:xfrm>
          <a:off x="190500" y="9525"/>
          <a:ext cx="695325" cy="5048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9525</xdr:rowOff>
    </xdr:from>
    <xdr:to>
      <xdr:col>2</xdr:col>
      <xdr:colOff>523875</xdr:colOff>
      <xdr:row>3</xdr:row>
      <xdr:rowOff>38100</xdr:rowOff>
    </xdr:to>
    <xdr:pic>
      <xdr:nvPicPr>
        <xdr:cNvPr id="1" name="Picture 19"/>
        <xdr:cNvPicPr preferRelativeResize="1">
          <a:picLocks noChangeAspect="0"/>
        </xdr:cNvPicPr>
      </xdr:nvPicPr>
      <xdr:blipFill>
        <a:blip r:embed="rId1"/>
        <a:srcRect r="60145" b="33332"/>
        <a:stretch>
          <a:fillRect/>
        </a:stretch>
      </xdr:blipFill>
      <xdr:spPr>
        <a:xfrm>
          <a:off x="209550" y="9525"/>
          <a:ext cx="695325" cy="5715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2</xdr:col>
      <xdr:colOff>504825</xdr:colOff>
      <xdr:row>3</xdr:row>
      <xdr:rowOff>114300</xdr:rowOff>
    </xdr:to>
    <xdr:pic>
      <xdr:nvPicPr>
        <xdr:cNvPr id="1" name="Picture 3"/>
        <xdr:cNvPicPr preferRelativeResize="1">
          <a:picLocks noChangeAspect="0"/>
        </xdr:cNvPicPr>
      </xdr:nvPicPr>
      <xdr:blipFill>
        <a:blip r:embed="rId1"/>
        <a:srcRect r="60145" b="33332"/>
        <a:stretch>
          <a:fillRect/>
        </a:stretch>
      </xdr:blipFill>
      <xdr:spPr>
        <a:xfrm>
          <a:off x="190500" y="9525"/>
          <a:ext cx="695325" cy="5715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2</xdr:col>
      <xdr:colOff>533400</xdr:colOff>
      <xdr:row>3</xdr:row>
      <xdr:rowOff>38100</xdr:rowOff>
    </xdr:to>
    <xdr:pic>
      <xdr:nvPicPr>
        <xdr:cNvPr id="1" name="Picture 5"/>
        <xdr:cNvPicPr preferRelativeResize="1">
          <a:picLocks noChangeAspect="1"/>
        </xdr:cNvPicPr>
      </xdr:nvPicPr>
      <xdr:blipFill>
        <a:blip r:embed="rId1"/>
        <a:srcRect r="60145" b="33332"/>
        <a:stretch>
          <a:fillRect/>
        </a:stretch>
      </xdr:blipFill>
      <xdr:spPr>
        <a:xfrm>
          <a:off x="190500" y="9525"/>
          <a:ext cx="695325" cy="5143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2</xdr:col>
      <xdr:colOff>533400</xdr:colOff>
      <xdr:row>3</xdr:row>
      <xdr:rowOff>38100</xdr:rowOff>
    </xdr:to>
    <xdr:pic>
      <xdr:nvPicPr>
        <xdr:cNvPr id="1" name="Picture 1"/>
        <xdr:cNvPicPr preferRelativeResize="1">
          <a:picLocks noChangeAspect="1"/>
        </xdr:cNvPicPr>
      </xdr:nvPicPr>
      <xdr:blipFill>
        <a:blip r:embed="rId1"/>
        <a:srcRect r="60145" b="33332"/>
        <a:stretch>
          <a:fillRect/>
        </a:stretch>
      </xdr:blipFill>
      <xdr:spPr>
        <a:xfrm>
          <a:off x="190500" y="9525"/>
          <a:ext cx="695325" cy="5143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0</xdr:rowOff>
    </xdr:from>
    <xdr:to>
      <xdr:col>2</xdr:col>
      <xdr:colOff>361950</xdr:colOff>
      <xdr:row>3</xdr:row>
      <xdr:rowOff>28575</xdr:rowOff>
    </xdr:to>
    <xdr:pic>
      <xdr:nvPicPr>
        <xdr:cNvPr id="1" name="Picture 1"/>
        <xdr:cNvPicPr preferRelativeResize="1">
          <a:picLocks noChangeAspect="0"/>
        </xdr:cNvPicPr>
      </xdr:nvPicPr>
      <xdr:blipFill>
        <a:blip r:embed="rId1"/>
        <a:srcRect r="60145" b="33332"/>
        <a:stretch>
          <a:fillRect/>
        </a:stretch>
      </xdr:blipFill>
      <xdr:spPr>
        <a:xfrm>
          <a:off x="161925" y="0"/>
          <a:ext cx="695325" cy="5143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9525</xdr:rowOff>
    </xdr:from>
    <xdr:to>
      <xdr:col>2</xdr:col>
      <xdr:colOff>514350</xdr:colOff>
      <xdr:row>3</xdr:row>
      <xdr:rowOff>76200</xdr:rowOff>
    </xdr:to>
    <xdr:pic>
      <xdr:nvPicPr>
        <xdr:cNvPr id="1" name="Picture 1"/>
        <xdr:cNvPicPr preferRelativeResize="1">
          <a:picLocks noChangeAspect="1"/>
        </xdr:cNvPicPr>
      </xdr:nvPicPr>
      <xdr:blipFill>
        <a:blip r:embed="rId1"/>
        <a:srcRect r="60145" b="33332"/>
        <a:stretch>
          <a:fillRect/>
        </a:stretch>
      </xdr:blipFill>
      <xdr:spPr>
        <a:xfrm>
          <a:off x="161925" y="9525"/>
          <a:ext cx="695325" cy="5143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9525</xdr:rowOff>
    </xdr:from>
    <xdr:to>
      <xdr:col>2</xdr:col>
      <xdr:colOff>504825</xdr:colOff>
      <xdr:row>3</xdr:row>
      <xdr:rowOff>38100</xdr:rowOff>
    </xdr:to>
    <xdr:pic>
      <xdr:nvPicPr>
        <xdr:cNvPr id="1" name="Picture 1"/>
        <xdr:cNvPicPr preferRelativeResize="1">
          <a:picLocks noChangeAspect="1"/>
        </xdr:cNvPicPr>
      </xdr:nvPicPr>
      <xdr:blipFill>
        <a:blip r:embed="rId1"/>
        <a:srcRect r="60145" b="33332"/>
        <a:stretch>
          <a:fillRect/>
        </a:stretch>
      </xdr:blipFill>
      <xdr:spPr>
        <a:xfrm>
          <a:off x="161925" y="9525"/>
          <a:ext cx="695325" cy="5143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0</xdr:rowOff>
    </xdr:from>
    <xdr:to>
      <xdr:col>2</xdr:col>
      <xdr:colOff>533400</xdr:colOff>
      <xdr:row>3</xdr:row>
      <xdr:rowOff>47625</xdr:rowOff>
    </xdr:to>
    <xdr:pic>
      <xdr:nvPicPr>
        <xdr:cNvPr id="1" name="Picture 1"/>
        <xdr:cNvPicPr preferRelativeResize="1">
          <a:picLocks noChangeAspect="0"/>
        </xdr:cNvPicPr>
      </xdr:nvPicPr>
      <xdr:blipFill>
        <a:blip r:embed="rId1"/>
        <a:srcRect r="60145" b="33332"/>
        <a:stretch>
          <a:fillRect/>
        </a:stretch>
      </xdr:blipFill>
      <xdr:spPr>
        <a:xfrm>
          <a:off x="161925" y="0"/>
          <a:ext cx="695325" cy="5238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0</xdr:rowOff>
    </xdr:from>
    <xdr:to>
      <xdr:col>2</xdr:col>
      <xdr:colOff>381000</xdr:colOff>
      <xdr:row>3</xdr:row>
      <xdr:rowOff>47625</xdr:rowOff>
    </xdr:to>
    <xdr:pic>
      <xdr:nvPicPr>
        <xdr:cNvPr id="1" name="Picture 1"/>
        <xdr:cNvPicPr preferRelativeResize="1">
          <a:picLocks noChangeAspect="0"/>
        </xdr:cNvPicPr>
      </xdr:nvPicPr>
      <xdr:blipFill>
        <a:blip r:embed="rId1"/>
        <a:srcRect r="60145" b="33332"/>
        <a:stretch>
          <a:fillRect/>
        </a:stretch>
      </xdr:blipFill>
      <xdr:spPr>
        <a:xfrm>
          <a:off x="161925" y="0"/>
          <a:ext cx="695325" cy="5238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0</xdr:rowOff>
    </xdr:from>
    <xdr:to>
      <xdr:col>3</xdr:col>
      <xdr:colOff>161925</xdr:colOff>
      <xdr:row>3</xdr:row>
      <xdr:rowOff>0</xdr:rowOff>
    </xdr:to>
    <xdr:pic>
      <xdr:nvPicPr>
        <xdr:cNvPr id="1" name="Picture 1"/>
        <xdr:cNvPicPr preferRelativeResize="1">
          <a:picLocks noChangeAspect="0"/>
        </xdr:cNvPicPr>
      </xdr:nvPicPr>
      <xdr:blipFill>
        <a:blip r:embed="rId1"/>
        <a:srcRect r="60145" b="33332"/>
        <a:stretch>
          <a:fillRect/>
        </a:stretch>
      </xdr:blipFill>
      <xdr:spPr>
        <a:xfrm>
          <a:off x="371475" y="0"/>
          <a:ext cx="69532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2</xdr:col>
      <xdr:colOff>533400</xdr:colOff>
      <xdr:row>3</xdr:row>
      <xdr:rowOff>76200</xdr:rowOff>
    </xdr:to>
    <xdr:pic>
      <xdr:nvPicPr>
        <xdr:cNvPr id="1" name="Picture 1"/>
        <xdr:cNvPicPr preferRelativeResize="1">
          <a:picLocks noChangeAspect="1"/>
        </xdr:cNvPicPr>
      </xdr:nvPicPr>
      <xdr:blipFill>
        <a:blip r:embed="rId1"/>
        <a:srcRect r="60145" b="33332"/>
        <a:stretch>
          <a:fillRect/>
        </a:stretch>
      </xdr:blipFill>
      <xdr:spPr>
        <a:xfrm>
          <a:off x="190500" y="9525"/>
          <a:ext cx="695325" cy="51435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0</xdr:rowOff>
    </xdr:from>
    <xdr:to>
      <xdr:col>1</xdr:col>
      <xdr:colOff>695325</xdr:colOff>
      <xdr:row>3</xdr:row>
      <xdr:rowOff>66675</xdr:rowOff>
    </xdr:to>
    <xdr:pic>
      <xdr:nvPicPr>
        <xdr:cNvPr id="1" name="Picture 1"/>
        <xdr:cNvPicPr preferRelativeResize="1">
          <a:picLocks noChangeAspect="0"/>
        </xdr:cNvPicPr>
      </xdr:nvPicPr>
      <xdr:blipFill>
        <a:blip r:embed="rId1"/>
        <a:srcRect r="60145" b="33332"/>
        <a:stretch>
          <a:fillRect/>
        </a:stretch>
      </xdr:blipFill>
      <xdr:spPr>
        <a:xfrm>
          <a:off x="161925" y="0"/>
          <a:ext cx="69532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2</xdr:col>
      <xdr:colOff>504825</xdr:colOff>
      <xdr:row>3</xdr:row>
      <xdr:rowOff>38100</xdr:rowOff>
    </xdr:to>
    <xdr:pic>
      <xdr:nvPicPr>
        <xdr:cNvPr id="1" name="Picture 1"/>
        <xdr:cNvPicPr preferRelativeResize="1">
          <a:picLocks noChangeAspect="1"/>
        </xdr:cNvPicPr>
      </xdr:nvPicPr>
      <xdr:blipFill>
        <a:blip r:embed="rId1"/>
        <a:srcRect r="60145" b="33332"/>
        <a:stretch>
          <a:fillRect/>
        </a:stretch>
      </xdr:blipFill>
      <xdr:spPr>
        <a:xfrm>
          <a:off x="104775" y="9525"/>
          <a:ext cx="695325"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2</xdr:col>
      <xdr:colOff>504825</xdr:colOff>
      <xdr:row>3</xdr:row>
      <xdr:rowOff>38100</xdr:rowOff>
    </xdr:to>
    <xdr:pic>
      <xdr:nvPicPr>
        <xdr:cNvPr id="1" name="Picture 1"/>
        <xdr:cNvPicPr preferRelativeResize="1">
          <a:picLocks noChangeAspect="1"/>
        </xdr:cNvPicPr>
      </xdr:nvPicPr>
      <xdr:blipFill>
        <a:blip r:embed="rId1"/>
        <a:srcRect r="60145" b="33332"/>
        <a:stretch>
          <a:fillRect/>
        </a:stretch>
      </xdr:blipFill>
      <xdr:spPr>
        <a:xfrm>
          <a:off x="104775" y="9525"/>
          <a:ext cx="6953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9525</xdr:rowOff>
    </xdr:from>
    <xdr:to>
      <xdr:col>2</xdr:col>
      <xdr:colOff>504825</xdr:colOff>
      <xdr:row>3</xdr:row>
      <xdr:rowOff>85725</xdr:rowOff>
    </xdr:to>
    <xdr:pic>
      <xdr:nvPicPr>
        <xdr:cNvPr id="1" name="Picture 1"/>
        <xdr:cNvPicPr preferRelativeResize="1">
          <a:picLocks noChangeAspect="1"/>
        </xdr:cNvPicPr>
      </xdr:nvPicPr>
      <xdr:blipFill>
        <a:blip r:embed="rId1"/>
        <a:srcRect r="60145" b="33332"/>
        <a:stretch>
          <a:fillRect/>
        </a:stretch>
      </xdr:blipFill>
      <xdr:spPr>
        <a:xfrm>
          <a:off x="190500" y="9525"/>
          <a:ext cx="695325" cy="542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9525</xdr:rowOff>
    </xdr:from>
    <xdr:to>
      <xdr:col>2</xdr:col>
      <xdr:colOff>514350</xdr:colOff>
      <xdr:row>3</xdr:row>
      <xdr:rowOff>76200</xdr:rowOff>
    </xdr:to>
    <xdr:pic>
      <xdr:nvPicPr>
        <xdr:cNvPr id="1" name="Picture 2"/>
        <xdr:cNvPicPr preferRelativeResize="1">
          <a:picLocks noChangeAspect="0"/>
        </xdr:cNvPicPr>
      </xdr:nvPicPr>
      <xdr:blipFill>
        <a:blip r:embed="rId1"/>
        <a:srcRect r="60145" b="33332"/>
        <a:stretch>
          <a:fillRect/>
        </a:stretch>
      </xdr:blipFill>
      <xdr:spPr>
        <a:xfrm>
          <a:off x="200025" y="9525"/>
          <a:ext cx="695325" cy="514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9525</xdr:rowOff>
    </xdr:from>
    <xdr:to>
      <xdr:col>2</xdr:col>
      <xdr:colOff>504825</xdr:colOff>
      <xdr:row>3</xdr:row>
      <xdr:rowOff>85725</xdr:rowOff>
    </xdr:to>
    <xdr:pic>
      <xdr:nvPicPr>
        <xdr:cNvPr id="1" name="Picture 1"/>
        <xdr:cNvPicPr preferRelativeResize="1">
          <a:picLocks noChangeAspect="1"/>
        </xdr:cNvPicPr>
      </xdr:nvPicPr>
      <xdr:blipFill>
        <a:blip r:embed="rId1"/>
        <a:srcRect r="60145" b="33332"/>
        <a:stretch>
          <a:fillRect/>
        </a:stretch>
      </xdr:blipFill>
      <xdr:spPr>
        <a:xfrm>
          <a:off x="190500" y="9525"/>
          <a:ext cx="695325" cy="542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9525</xdr:rowOff>
    </xdr:from>
    <xdr:to>
      <xdr:col>2</xdr:col>
      <xdr:colOff>504825</xdr:colOff>
      <xdr:row>3</xdr:row>
      <xdr:rowOff>85725</xdr:rowOff>
    </xdr:to>
    <xdr:pic>
      <xdr:nvPicPr>
        <xdr:cNvPr id="1" name="Picture 1"/>
        <xdr:cNvPicPr preferRelativeResize="1">
          <a:picLocks noChangeAspect="1"/>
        </xdr:cNvPicPr>
      </xdr:nvPicPr>
      <xdr:blipFill>
        <a:blip r:embed="rId1"/>
        <a:srcRect r="60145" b="33332"/>
        <a:stretch>
          <a:fillRect/>
        </a:stretch>
      </xdr:blipFill>
      <xdr:spPr>
        <a:xfrm>
          <a:off x="190500" y="9525"/>
          <a:ext cx="6953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S36"/>
  <sheetViews>
    <sheetView tabSelected="1" workbookViewId="0" topLeftCell="A1">
      <selection activeCell="A7" sqref="A7"/>
    </sheetView>
  </sheetViews>
  <sheetFormatPr defaultColWidth="9.33203125" defaultRowHeight="12.75"/>
  <cols>
    <col min="1" max="1" width="9" style="54" customWidth="1"/>
    <col min="2" max="2" width="5.66015625" style="54" customWidth="1"/>
    <col min="3" max="3" width="23.33203125" style="54" customWidth="1"/>
    <col min="4" max="8" width="9" style="54" customWidth="1"/>
    <col min="9" max="9" width="11" style="54" customWidth="1"/>
    <col min="10" max="10" width="11.16015625" style="54" customWidth="1"/>
    <col min="11" max="14" width="9" style="54" customWidth="1"/>
    <col min="15" max="15" width="1.83203125" style="54" customWidth="1"/>
    <col min="16" max="16384" width="9" style="54" customWidth="1"/>
  </cols>
  <sheetData>
    <row r="1" spans="1:10" ht="12.75">
      <c r="A1" s="54" t="s">
        <v>212</v>
      </c>
      <c r="J1" s="95"/>
    </row>
    <row r="2" ht="12.75">
      <c r="J2" s="95"/>
    </row>
    <row r="3" ht="12.75"/>
    <row r="4" ht="12.75"/>
    <row r="5" ht="12.75"/>
    <row r="6" spans="7:12" ht="12.75">
      <c r="G6" s="237"/>
      <c r="I6" s="95"/>
      <c r="J6" s="95"/>
      <c r="K6" s="95"/>
      <c r="L6" s="95"/>
    </row>
    <row r="7" ht="12.75">
      <c r="K7" s="3"/>
    </row>
    <row r="8" spans="7:10" ht="15.75">
      <c r="G8" s="95"/>
      <c r="J8" s="555"/>
    </row>
    <row r="9" ht="12.75">
      <c r="J9" s="554"/>
    </row>
    <row r="10" spans="6:8" ht="13.5" customHeight="1">
      <c r="F10" s="147"/>
      <c r="G10" s="95"/>
      <c r="H10" s="95"/>
    </row>
    <row r="11" ht="12.75">
      <c r="L11" s="531"/>
    </row>
    <row r="12" spans="3:9" ht="12.75">
      <c r="C12" s="148"/>
      <c r="D12" s="148"/>
      <c r="E12" s="148"/>
      <c r="F12" s="148"/>
      <c r="G12" s="148"/>
      <c r="H12" s="148"/>
      <c r="I12" s="148"/>
    </row>
    <row r="13" spans="3:13" ht="12.75">
      <c r="C13" s="149"/>
      <c r="D13" s="149"/>
      <c r="E13" s="149"/>
      <c r="F13" s="149"/>
      <c r="G13" s="149"/>
      <c r="H13" s="149"/>
      <c r="I13" s="149"/>
      <c r="L13" s="148"/>
      <c r="M13" s="148"/>
    </row>
    <row r="14" spans="3:13" ht="12.75">
      <c r="C14" s="149"/>
      <c r="D14" s="149"/>
      <c r="E14" s="149"/>
      <c r="F14" s="150"/>
      <c r="G14" s="149"/>
      <c r="H14" s="149"/>
      <c r="I14" s="149"/>
      <c r="L14" s="148"/>
      <c r="M14" s="148"/>
    </row>
    <row r="15" spans="3:13" ht="23.25">
      <c r="C15" s="149"/>
      <c r="D15" s="151" t="s">
        <v>419</v>
      </c>
      <c r="E15" s="149"/>
      <c r="F15" s="149"/>
      <c r="G15" s="149"/>
      <c r="H15" s="149"/>
      <c r="I15" s="149"/>
      <c r="L15" s="148"/>
      <c r="M15" s="148"/>
    </row>
    <row r="16" spans="3:14" ht="12.75">
      <c r="C16" s="149"/>
      <c r="D16" s="149"/>
      <c r="E16" s="149"/>
      <c r="F16" s="149"/>
      <c r="G16" s="149"/>
      <c r="H16" s="149"/>
      <c r="I16" s="149"/>
      <c r="L16" s="148"/>
      <c r="M16" s="148"/>
      <c r="N16" s="152"/>
    </row>
    <row r="17" spans="3:9" ht="12.75">
      <c r="C17" s="148"/>
      <c r="D17" s="148"/>
      <c r="E17" s="148"/>
      <c r="F17" s="148"/>
      <c r="G17" s="148"/>
      <c r="H17" s="148"/>
      <c r="I17" s="148"/>
    </row>
    <row r="18" ht="15.75">
      <c r="D18" s="153" t="s">
        <v>438</v>
      </c>
    </row>
    <row r="19" ht="27" customHeight="1">
      <c r="D19" s="253"/>
    </row>
    <row r="20" ht="27" customHeight="1">
      <c r="D20" s="154"/>
    </row>
    <row r="21" ht="27" customHeight="1">
      <c r="D21" s="154"/>
    </row>
    <row r="22" ht="12" customHeight="1">
      <c r="D22" s="154"/>
    </row>
    <row r="23" spans="1:16" ht="12.75" customHeight="1">
      <c r="A23" s="608" t="s">
        <v>247</v>
      </c>
      <c r="B23" s="609"/>
      <c r="D23" s="603" t="s">
        <v>386</v>
      </c>
      <c r="E23" s="604"/>
      <c r="F23" s="604"/>
      <c r="G23" s="604"/>
      <c r="H23" s="604"/>
      <c r="I23" s="604"/>
      <c r="J23" s="604"/>
      <c r="K23" s="604"/>
      <c r="L23" s="604"/>
      <c r="M23" s="604"/>
      <c r="N23" s="604"/>
      <c r="O23" s="155"/>
      <c r="P23" s="24"/>
    </row>
    <row r="24" spans="1:15" ht="14.25" customHeight="1">
      <c r="A24" s="610" t="s">
        <v>77</v>
      </c>
      <c r="B24" s="610"/>
      <c r="C24" s="610"/>
      <c r="D24" s="604"/>
      <c r="E24" s="604"/>
      <c r="F24" s="604"/>
      <c r="G24" s="604"/>
      <c r="H24" s="604"/>
      <c r="I24" s="604"/>
      <c r="J24" s="604"/>
      <c r="K24" s="604"/>
      <c r="L24" s="604"/>
      <c r="M24" s="604"/>
      <c r="N24" s="604"/>
      <c r="O24" s="155"/>
    </row>
    <row r="25" spans="1:17" ht="12.75" customHeight="1">
      <c r="A25" s="98" t="s">
        <v>231</v>
      </c>
      <c r="B25" s="161"/>
      <c r="C25" s="161"/>
      <c r="D25" s="605"/>
      <c r="E25" s="605"/>
      <c r="F25" s="605"/>
      <c r="G25" s="605"/>
      <c r="H25" s="605"/>
      <c r="I25" s="605"/>
      <c r="J25" s="605"/>
      <c r="K25" s="605"/>
      <c r="L25" s="605"/>
      <c r="M25" s="605"/>
      <c r="N25" s="605"/>
      <c r="P25" s="73"/>
      <c r="Q25" s="73"/>
    </row>
    <row r="26" spans="1:17" ht="12.75" customHeight="1">
      <c r="A26" s="98" t="s">
        <v>230</v>
      </c>
      <c r="B26" s="161"/>
      <c r="C26" s="161"/>
      <c r="D26" s="73"/>
      <c r="E26" s="73"/>
      <c r="F26" s="73"/>
      <c r="G26" s="73"/>
      <c r="H26" s="73"/>
      <c r="I26" s="73"/>
      <c r="J26" s="73"/>
      <c r="K26" s="73"/>
      <c r="L26" s="73"/>
      <c r="M26" s="73"/>
      <c r="N26" s="73"/>
      <c r="P26" s="73"/>
      <c r="Q26" s="73"/>
    </row>
    <row r="27" spans="1:17" ht="10.5" customHeight="1">
      <c r="A27" s="98" t="s">
        <v>232</v>
      </c>
      <c r="B27" s="161"/>
      <c r="C27" s="161"/>
      <c r="D27" s="611" t="s">
        <v>75</v>
      </c>
      <c r="E27" s="611"/>
      <c r="F27" s="611"/>
      <c r="G27" s="611"/>
      <c r="H27" s="611"/>
      <c r="I27" s="611"/>
      <c r="J27" s="611"/>
      <c r="K27" s="68"/>
      <c r="L27" s="68"/>
      <c r="M27" s="68"/>
      <c r="N27" s="68"/>
      <c r="O27" s="68"/>
      <c r="P27" s="68"/>
      <c r="Q27" s="68"/>
    </row>
    <row r="28" spans="4:17" ht="48" customHeight="1">
      <c r="D28" s="606" t="s">
        <v>406</v>
      </c>
      <c r="E28" s="606"/>
      <c r="F28" s="606"/>
      <c r="G28" s="606"/>
      <c r="H28" s="606"/>
      <c r="I28" s="606"/>
      <c r="J28" s="606"/>
      <c r="K28" s="606"/>
      <c r="L28" s="606"/>
      <c r="M28" s="606"/>
      <c r="N28" s="606"/>
      <c r="O28" s="73"/>
      <c r="P28" s="73"/>
      <c r="Q28" s="73"/>
    </row>
    <row r="29" spans="4:17" ht="38.25" customHeight="1">
      <c r="D29" s="606" t="s">
        <v>320</v>
      </c>
      <c r="E29" s="606"/>
      <c r="F29" s="606"/>
      <c r="G29" s="606"/>
      <c r="H29" s="606"/>
      <c r="I29" s="606"/>
      <c r="J29" s="606"/>
      <c r="K29" s="606"/>
      <c r="L29" s="606"/>
      <c r="M29" s="606"/>
      <c r="N29" s="606"/>
      <c r="O29" s="73"/>
      <c r="P29" s="73"/>
      <c r="Q29" s="73"/>
    </row>
    <row r="30" spans="4:19" s="102" customFormat="1" ht="16.5" customHeight="1">
      <c r="D30" s="607"/>
      <c r="E30" s="607"/>
      <c r="F30" s="607"/>
      <c r="G30" s="607"/>
      <c r="H30" s="607"/>
      <c r="I30" s="607"/>
      <c r="J30" s="607"/>
      <c r="K30" s="607"/>
      <c r="L30" s="607"/>
      <c r="M30" s="607"/>
      <c r="N30" s="607"/>
      <c r="O30" s="157"/>
      <c r="P30" s="37"/>
      <c r="Q30" s="37"/>
      <c r="R30" s="37"/>
      <c r="S30" s="37"/>
    </row>
    <row r="31" spans="4:19" s="102" customFormat="1" ht="12.75" customHeight="1">
      <c r="D31" s="54"/>
      <c r="E31" s="54"/>
      <c r="F31" s="54"/>
      <c r="G31" s="54"/>
      <c r="H31" s="54"/>
      <c r="I31" s="54"/>
      <c r="J31" s="54"/>
      <c r="K31" s="54"/>
      <c r="L31" s="54"/>
      <c r="M31" s="54"/>
      <c r="N31" s="54"/>
      <c r="O31" s="157"/>
      <c r="P31" s="37"/>
      <c r="Q31" s="37"/>
      <c r="R31" s="37"/>
      <c r="S31" s="37"/>
    </row>
    <row r="32" spans="4:19" s="102" customFormat="1" ht="12.75" customHeight="1">
      <c r="D32" s="54"/>
      <c r="E32" s="54"/>
      <c r="F32" s="54"/>
      <c r="G32" s="54"/>
      <c r="H32" s="54"/>
      <c r="I32" s="54"/>
      <c r="J32" s="54"/>
      <c r="K32" s="54"/>
      <c r="L32" s="54"/>
      <c r="M32" s="54"/>
      <c r="N32" s="54"/>
      <c r="O32" s="157"/>
      <c r="P32" s="37"/>
      <c r="Q32" s="37"/>
      <c r="R32" s="37"/>
      <c r="S32" s="37"/>
    </row>
    <row r="33" spans="1:19" s="102" customFormat="1" ht="12.75" customHeight="1">
      <c r="A33" s="78"/>
      <c r="B33" s="78"/>
      <c r="C33" s="78"/>
      <c r="D33" s="54"/>
      <c r="E33" s="54"/>
      <c r="F33" s="54"/>
      <c r="G33" s="54"/>
      <c r="H33" s="54"/>
      <c r="I33" s="54"/>
      <c r="J33" s="54"/>
      <c r="K33" s="54"/>
      <c r="L33" s="54"/>
      <c r="M33" s="54"/>
      <c r="N33" s="54"/>
      <c r="O33" s="157"/>
      <c r="P33" s="37"/>
      <c r="Q33" s="37"/>
      <c r="R33" s="37"/>
      <c r="S33" s="37"/>
    </row>
    <row r="34" spans="1:19" s="102" customFormat="1" ht="12.75" customHeight="1">
      <c r="A34" s="78"/>
      <c r="B34" s="78"/>
      <c r="C34" s="78"/>
      <c r="D34" s="54"/>
      <c r="E34" s="54"/>
      <c r="F34" s="54"/>
      <c r="G34" s="54"/>
      <c r="H34" s="54"/>
      <c r="I34" s="54"/>
      <c r="J34" s="54"/>
      <c r="K34" s="54"/>
      <c r="L34" s="54"/>
      <c r="M34" s="54"/>
      <c r="N34" s="54"/>
      <c r="O34" s="157"/>
      <c r="P34" s="37"/>
      <c r="Q34" s="37"/>
      <c r="R34" s="37"/>
      <c r="S34" s="37"/>
    </row>
    <row r="35" spans="1:19" s="102" customFormat="1" ht="12.75" customHeight="1">
      <c r="A35" s="78"/>
      <c r="B35" s="78"/>
      <c r="C35" s="78"/>
      <c r="D35" s="54"/>
      <c r="E35" s="54"/>
      <c r="F35" s="54"/>
      <c r="G35" s="54"/>
      <c r="H35" s="54"/>
      <c r="I35" s="54"/>
      <c r="J35" s="54"/>
      <c r="K35" s="54"/>
      <c r="L35" s="54"/>
      <c r="M35" s="54"/>
      <c r="N35" s="54"/>
      <c r="O35" s="157"/>
      <c r="P35" s="37"/>
      <c r="Q35" s="37"/>
      <c r="R35" s="37"/>
      <c r="S35" s="37"/>
    </row>
    <row r="36" spans="2:19" s="102" customFormat="1" ht="9" customHeight="1">
      <c r="B36" s="158"/>
      <c r="C36" s="156"/>
      <c r="D36" s="54"/>
      <c r="E36" s="54"/>
      <c r="F36" s="54"/>
      <c r="G36" s="54"/>
      <c r="H36" s="54"/>
      <c r="I36" s="54"/>
      <c r="J36" s="54"/>
      <c r="K36" s="54"/>
      <c r="L36" s="54"/>
      <c r="M36" s="54"/>
      <c r="N36" s="54"/>
      <c r="O36" s="68"/>
      <c r="P36" s="37"/>
      <c r="Q36" s="37"/>
      <c r="R36" s="37"/>
      <c r="S36" s="37"/>
    </row>
  </sheetData>
  <sheetProtection/>
  <mergeCells count="7">
    <mergeCell ref="D23:N25"/>
    <mergeCell ref="D28:N28"/>
    <mergeCell ref="D30:N30"/>
    <mergeCell ref="A23:B23"/>
    <mergeCell ref="A24:C24"/>
    <mergeCell ref="D27:J27"/>
    <mergeCell ref="D29:N29"/>
  </mergeCells>
  <printOptions/>
  <pageMargins left="0.5" right="0.5" top="0.5" bottom="0.5" header="0.75" footer="0.5"/>
  <pageSetup horizontalDpi="600" verticalDpi="600" orientation="landscape" r:id="rId3"/>
  <drawing r:id="rId2"/>
  <legacyDrawing r:id="rId1"/>
</worksheet>
</file>

<file path=xl/worksheets/sheet10.xml><?xml version="1.0" encoding="utf-8"?>
<worksheet xmlns="http://schemas.openxmlformats.org/spreadsheetml/2006/main" xmlns:r="http://schemas.openxmlformats.org/officeDocument/2006/relationships">
  <sheetPr codeName="Sheet18"/>
  <dimension ref="C1:S48"/>
  <sheetViews>
    <sheetView workbookViewId="0" topLeftCell="A1">
      <selection activeCell="A5" sqref="A5"/>
    </sheetView>
  </sheetViews>
  <sheetFormatPr defaultColWidth="9.33203125" defaultRowHeight="12.75"/>
  <cols>
    <col min="1" max="2" width="3.33203125" style="1" customWidth="1"/>
    <col min="3" max="3" width="50" style="1" customWidth="1"/>
    <col min="4" max="4" width="8.83203125" style="1" customWidth="1"/>
    <col min="5" max="5" width="2.33203125" style="1" customWidth="1"/>
    <col min="6" max="6" width="8.83203125" style="1" customWidth="1"/>
    <col min="7" max="7" width="2.33203125" style="1" customWidth="1"/>
    <col min="8" max="8" width="8.83203125" style="1" customWidth="1"/>
    <col min="9" max="9" width="2.33203125" style="1" customWidth="1"/>
    <col min="10" max="10" width="8.83203125" style="1" customWidth="1"/>
    <col min="11" max="11" width="2.33203125" style="1" customWidth="1"/>
    <col min="12" max="12" width="8.83203125" style="1" customWidth="1"/>
    <col min="13" max="13" width="2.16015625" style="1" customWidth="1"/>
    <col min="14" max="14" width="8.83203125" style="1" customWidth="1"/>
    <col min="15" max="15" width="2.16015625" style="1" customWidth="1"/>
    <col min="16" max="16" width="8.83203125" style="1" customWidth="1"/>
    <col min="17" max="17" width="2.16015625" style="1" customWidth="1"/>
    <col min="18" max="18" width="2.33203125" style="7" customWidth="1"/>
    <col min="19" max="19" width="4" style="1" customWidth="1"/>
    <col min="20" max="16384" width="9" style="1" customWidth="1"/>
  </cols>
  <sheetData>
    <row r="1" spans="3:19" ht="12.75">
      <c r="C1" s="619" t="s">
        <v>96</v>
      </c>
      <c r="D1" s="619"/>
      <c r="E1" s="619"/>
      <c r="F1" s="619"/>
      <c r="G1" s="619"/>
      <c r="H1" s="619"/>
      <c r="I1" s="619"/>
      <c r="J1" s="619"/>
      <c r="K1" s="619"/>
      <c r="L1" s="619"/>
      <c r="M1" s="619"/>
      <c r="N1" s="619"/>
      <c r="O1" s="619"/>
      <c r="P1" s="619"/>
      <c r="Q1" s="619"/>
      <c r="R1" s="619"/>
      <c r="S1" s="619"/>
    </row>
    <row r="2" spans="3:19" ht="12">
      <c r="C2" s="618" t="s">
        <v>82</v>
      </c>
      <c r="D2" s="618"/>
      <c r="E2" s="618"/>
      <c r="F2" s="618"/>
      <c r="G2" s="618"/>
      <c r="H2" s="618"/>
      <c r="I2" s="618"/>
      <c r="J2" s="618"/>
      <c r="K2" s="618"/>
      <c r="L2" s="618"/>
      <c r="M2" s="618"/>
      <c r="N2" s="618"/>
      <c r="O2" s="618"/>
      <c r="P2" s="618"/>
      <c r="Q2" s="618"/>
      <c r="R2" s="618"/>
      <c r="S2" s="618"/>
    </row>
    <row r="3" spans="3:19" ht="12">
      <c r="C3" s="617" t="s">
        <v>154</v>
      </c>
      <c r="D3" s="617"/>
      <c r="E3" s="617"/>
      <c r="F3" s="617"/>
      <c r="G3" s="617"/>
      <c r="H3" s="617"/>
      <c r="I3" s="617"/>
      <c r="J3" s="617"/>
      <c r="K3" s="617"/>
      <c r="L3" s="617"/>
      <c r="M3" s="617"/>
      <c r="N3" s="617"/>
      <c r="O3" s="617"/>
      <c r="P3" s="617"/>
      <c r="Q3" s="617"/>
      <c r="R3" s="617"/>
      <c r="S3" s="617"/>
    </row>
    <row r="4" spans="3:19" ht="12">
      <c r="C4" s="617" t="s">
        <v>170</v>
      </c>
      <c r="D4" s="617"/>
      <c r="E4" s="617"/>
      <c r="F4" s="617"/>
      <c r="G4" s="617"/>
      <c r="H4" s="617"/>
      <c r="I4" s="617"/>
      <c r="J4" s="617"/>
      <c r="K4" s="617"/>
      <c r="L4" s="617"/>
      <c r="M4" s="617"/>
      <c r="N4" s="617"/>
      <c r="O4" s="617"/>
      <c r="P4" s="617"/>
      <c r="Q4" s="617"/>
      <c r="R4" s="617"/>
      <c r="S4" s="617"/>
    </row>
    <row r="5" spans="3:19" ht="11.25" customHeight="1">
      <c r="C5" s="539"/>
      <c r="D5" s="91"/>
      <c r="E5" s="91"/>
      <c r="F5" s="91"/>
      <c r="G5" s="91"/>
      <c r="H5" s="91"/>
      <c r="I5" s="91"/>
      <c r="J5" s="91"/>
      <c r="K5" s="91"/>
      <c r="L5" s="91"/>
      <c r="M5" s="91"/>
      <c r="N5" s="91"/>
      <c r="O5" s="91"/>
      <c r="P5" s="91"/>
      <c r="Q5" s="91"/>
      <c r="R5" s="508"/>
      <c r="S5" s="91"/>
    </row>
    <row r="6" spans="3:19" ht="12.75">
      <c r="C6" s="3" t="s">
        <v>189</v>
      </c>
      <c r="D6" s="3"/>
      <c r="E6" s="3"/>
      <c r="F6" s="3"/>
      <c r="N6" s="440" t="s">
        <v>19</v>
      </c>
      <c r="O6" s="440"/>
      <c r="P6" s="440" t="s">
        <v>19</v>
      </c>
      <c r="R6" s="426"/>
      <c r="S6" s="456"/>
    </row>
    <row r="7" spans="4:19" ht="11.25">
      <c r="D7" s="4" t="s">
        <v>432</v>
      </c>
      <c r="E7" s="81"/>
      <c r="F7" s="4" t="s">
        <v>408</v>
      </c>
      <c r="G7" s="81"/>
      <c r="H7" s="4" t="s">
        <v>404</v>
      </c>
      <c r="I7" s="81"/>
      <c r="J7" s="4" t="s">
        <v>356</v>
      </c>
      <c r="K7" s="81"/>
      <c r="L7" s="4" t="s">
        <v>2</v>
      </c>
      <c r="M7" s="4"/>
      <c r="N7" s="23">
        <v>2006</v>
      </c>
      <c r="O7" s="4"/>
      <c r="P7" s="23">
        <v>2005</v>
      </c>
      <c r="Q7" s="4"/>
      <c r="R7" s="5"/>
      <c r="S7" s="30"/>
    </row>
    <row r="8" spans="6:19" ht="13.5" customHeight="1">
      <c r="F8" s="2"/>
      <c r="H8" s="2"/>
      <c r="J8" s="2"/>
      <c r="L8" s="2"/>
      <c r="N8" s="2"/>
      <c r="P8" s="2"/>
      <c r="S8" s="128"/>
    </row>
    <row r="9" spans="3:19" ht="11.25" customHeight="1">
      <c r="C9" s="1" t="s">
        <v>131</v>
      </c>
      <c r="D9" s="39">
        <f>+'Segment  2006 Qtr'!E10</f>
        <v>2236</v>
      </c>
      <c r="F9" s="39">
        <v>2550</v>
      </c>
      <c r="G9" s="33"/>
      <c r="H9" s="33">
        <v>2615</v>
      </c>
      <c r="I9" s="33"/>
      <c r="J9" s="33">
        <v>2262</v>
      </c>
      <c r="K9" s="33"/>
      <c r="L9" s="33">
        <v>2056</v>
      </c>
      <c r="M9" s="33"/>
      <c r="N9" s="33">
        <f aca="true" t="shared" si="0" ref="N9:N14">+F9+D9+H9+J9</f>
        <v>9663</v>
      </c>
      <c r="O9" s="33"/>
      <c r="P9" s="33">
        <v>9189</v>
      </c>
      <c r="Q9" s="33"/>
      <c r="R9" s="379"/>
      <c r="S9" s="561"/>
    </row>
    <row r="10" spans="3:19" ht="11.25" customHeight="1">
      <c r="C10" s="1" t="s">
        <v>132</v>
      </c>
      <c r="D10" s="55">
        <f>+'Segment  2006 Qtr'!E11</f>
        <v>1476</v>
      </c>
      <c r="F10" s="55">
        <v>1459</v>
      </c>
      <c r="G10" s="42"/>
      <c r="H10" s="55">
        <v>1502</v>
      </c>
      <c r="I10" s="42"/>
      <c r="J10" s="55">
        <v>1503</v>
      </c>
      <c r="K10" s="42"/>
      <c r="L10" s="55">
        <v>1271</v>
      </c>
      <c r="M10" s="42"/>
      <c r="N10" s="55">
        <f t="shared" si="0"/>
        <v>5940</v>
      </c>
      <c r="O10" s="42"/>
      <c r="P10" s="55">
        <v>5803</v>
      </c>
      <c r="Q10" s="42"/>
      <c r="R10" s="379"/>
      <c r="S10" s="561"/>
    </row>
    <row r="11" spans="3:19" ht="11.25" customHeight="1">
      <c r="C11" s="1" t="s">
        <v>133</v>
      </c>
      <c r="D11" s="55">
        <f>+'Segment  2006 Qtr'!E12</f>
        <v>1471</v>
      </c>
      <c r="F11" s="55">
        <v>1547</v>
      </c>
      <c r="G11" s="42"/>
      <c r="H11" s="55">
        <v>1367</v>
      </c>
      <c r="I11" s="42"/>
      <c r="J11" s="55">
        <v>1334</v>
      </c>
      <c r="K11" s="42"/>
      <c r="L11" s="55">
        <v>1349</v>
      </c>
      <c r="M11" s="42"/>
      <c r="N11" s="55">
        <f t="shared" si="0"/>
        <v>5719</v>
      </c>
      <c r="O11" s="42"/>
      <c r="P11" s="55">
        <v>5730</v>
      </c>
      <c r="Q11" s="42"/>
      <c r="R11" s="379"/>
      <c r="S11" s="561"/>
    </row>
    <row r="12" spans="3:19" ht="11.25" customHeight="1">
      <c r="C12" s="1" t="s">
        <v>126</v>
      </c>
      <c r="D12" s="55">
        <f>+'Segment  2006 Qtr'!E13</f>
        <v>1054</v>
      </c>
      <c r="F12" s="55">
        <v>1090</v>
      </c>
      <c r="G12" s="42"/>
      <c r="H12" s="55">
        <v>966</v>
      </c>
      <c r="I12" s="42"/>
      <c r="J12" s="55">
        <v>916</v>
      </c>
      <c r="K12" s="42"/>
      <c r="L12" s="55">
        <v>1101</v>
      </c>
      <c r="M12" s="42"/>
      <c r="N12" s="55">
        <f t="shared" si="0"/>
        <v>4026</v>
      </c>
      <c r="O12" s="42"/>
      <c r="P12" s="55">
        <v>4577</v>
      </c>
      <c r="Q12" s="42"/>
      <c r="R12" s="379"/>
      <c r="S12" s="561"/>
    </row>
    <row r="13" spans="3:19" ht="11.25" customHeight="1">
      <c r="C13" s="1" t="s">
        <v>136</v>
      </c>
      <c r="D13" s="55">
        <f>+'Segment  2006 Qtr'!E15</f>
        <v>122</v>
      </c>
      <c r="F13" s="55">
        <v>142</v>
      </c>
      <c r="G13" s="42"/>
      <c r="H13" s="55">
        <v>122</v>
      </c>
      <c r="I13" s="42"/>
      <c r="J13" s="55">
        <v>144</v>
      </c>
      <c r="K13" s="42"/>
      <c r="L13" s="55">
        <v>117</v>
      </c>
      <c r="M13" s="42"/>
      <c r="N13" s="55">
        <f t="shared" si="0"/>
        <v>530</v>
      </c>
      <c r="O13" s="42"/>
      <c r="P13" s="55">
        <v>503</v>
      </c>
      <c r="Q13" s="42"/>
      <c r="R13" s="379"/>
      <c r="S13" s="561"/>
    </row>
    <row r="14" spans="3:19" ht="11.25" customHeight="1">
      <c r="C14" s="1" t="s">
        <v>134</v>
      </c>
      <c r="D14" s="55">
        <f>+'Segment  2006 Qtr'!E16</f>
        <v>132</v>
      </c>
      <c r="E14" s="81"/>
      <c r="F14" s="55">
        <v>129</v>
      </c>
      <c r="G14" s="87"/>
      <c r="H14" s="55">
        <v>125</v>
      </c>
      <c r="I14" s="87"/>
      <c r="J14" s="55">
        <v>116</v>
      </c>
      <c r="K14" s="87"/>
      <c r="L14" s="55">
        <v>95</v>
      </c>
      <c r="M14" s="87"/>
      <c r="N14" s="55">
        <f t="shared" si="0"/>
        <v>502</v>
      </c>
      <c r="O14" s="87"/>
      <c r="P14" s="55">
        <v>427</v>
      </c>
      <c r="Q14" s="87"/>
      <c r="R14" s="345"/>
      <c r="S14" s="561"/>
    </row>
    <row r="15" spans="3:19" ht="11.25" customHeight="1">
      <c r="C15" s="1" t="s">
        <v>60</v>
      </c>
      <c r="D15" s="466">
        <f>D11-D12-D13-D14</f>
        <v>163</v>
      </c>
      <c r="F15" s="466">
        <f>F11-F12-F13-F14</f>
        <v>186</v>
      </c>
      <c r="G15" s="264"/>
      <c r="H15" s="264">
        <f>H11-H12-H13-H14</f>
        <v>154</v>
      </c>
      <c r="I15" s="264"/>
      <c r="J15" s="264">
        <f>J11-J12-J13-J14</f>
        <v>158</v>
      </c>
      <c r="K15" s="264"/>
      <c r="L15" s="264">
        <f>L11-L12-L13-L14</f>
        <v>36</v>
      </c>
      <c r="M15" s="264"/>
      <c r="N15" s="466">
        <f>N11-N12-N13-N14</f>
        <v>661</v>
      </c>
      <c r="O15" s="264"/>
      <c r="P15" s="466">
        <f>P11-P12-P13-P14</f>
        <v>223</v>
      </c>
      <c r="Q15" s="264"/>
      <c r="R15" s="40"/>
      <c r="S15" s="561"/>
    </row>
    <row r="16" spans="3:19" ht="7.5" customHeight="1">
      <c r="C16" s="25"/>
      <c r="D16" s="453"/>
      <c r="E16" s="25"/>
      <c r="F16" s="453"/>
      <c r="G16" s="129"/>
      <c r="H16" s="129"/>
      <c r="I16" s="129"/>
      <c r="J16" s="129"/>
      <c r="K16" s="129"/>
      <c r="L16" s="129"/>
      <c r="M16" s="129"/>
      <c r="N16" s="453"/>
      <c r="O16" s="129"/>
      <c r="P16" s="453"/>
      <c r="Q16" s="129"/>
      <c r="R16" s="379"/>
      <c r="S16" s="561"/>
    </row>
    <row r="17" spans="3:19" ht="11.25" customHeight="1">
      <c r="C17" s="1" t="s">
        <v>9</v>
      </c>
      <c r="D17" s="55">
        <f>+'Segment  2006 Qtr'!E19</f>
        <v>233</v>
      </c>
      <c r="F17" s="55">
        <v>228</v>
      </c>
      <c r="G17" s="42"/>
      <c r="H17" s="55">
        <v>212</v>
      </c>
      <c r="I17" s="42"/>
      <c r="J17" s="55">
        <v>203</v>
      </c>
      <c r="K17" s="55"/>
      <c r="L17" s="55">
        <v>189</v>
      </c>
      <c r="M17" s="55"/>
      <c r="N17" s="55">
        <f>+F17+D17+H17+J17</f>
        <v>876</v>
      </c>
      <c r="O17" s="55"/>
      <c r="P17" s="55">
        <v>698</v>
      </c>
      <c r="Q17" s="55"/>
      <c r="R17" s="55"/>
      <c r="S17" s="561"/>
    </row>
    <row r="18" spans="3:19" ht="11.25" customHeight="1">
      <c r="C18" s="177" t="s">
        <v>173</v>
      </c>
      <c r="D18" s="55">
        <f>+'Segment  2006 Qtr'!E20</f>
        <v>-11</v>
      </c>
      <c r="E18" s="177"/>
      <c r="F18" s="55">
        <v>-34</v>
      </c>
      <c r="G18" s="55"/>
      <c r="H18" s="55">
        <v>-32</v>
      </c>
      <c r="I18" s="55"/>
      <c r="J18" s="55">
        <v>-6</v>
      </c>
      <c r="K18" s="55"/>
      <c r="L18" s="55">
        <v>-14</v>
      </c>
      <c r="M18" s="55"/>
      <c r="N18" s="55">
        <f>+F18+D18+H18+J18</f>
        <v>-83</v>
      </c>
      <c r="O18" s="55"/>
      <c r="P18" s="55">
        <v>15</v>
      </c>
      <c r="Q18" s="55"/>
      <c r="R18" s="55"/>
      <c r="S18" s="561"/>
    </row>
    <row r="19" spans="3:19" ht="11.25" customHeight="1">
      <c r="C19" s="1" t="s">
        <v>146</v>
      </c>
      <c r="D19" s="55">
        <f>+'Segment  2006 Qtr'!E21</f>
        <v>0</v>
      </c>
      <c r="F19" s="55">
        <v>0</v>
      </c>
      <c r="G19" s="55"/>
      <c r="H19" s="55">
        <v>0</v>
      </c>
      <c r="I19" s="55"/>
      <c r="J19" s="55">
        <v>0</v>
      </c>
      <c r="K19" s="55"/>
      <c r="L19" s="55">
        <v>0</v>
      </c>
      <c r="M19" s="55"/>
      <c r="N19" s="55">
        <f>+F19+D19+H19+J19</f>
        <v>0</v>
      </c>
      <c r="O19" s="55"/>
      <c r="P19" s="55">
        <v>0</v>
      </c>
      <c r="Q19" s="55"/>
      <c r="R19" s="55"/>
      <c r="S19" s="561"/>
    </row>
    <row r="20" spans="3:19" ht="11.25" customHeight="1">
      <c r="C20" s="1" t="s">
        <v>265</v>
      </c>
      <c r="D20" s="55">
        <f>+'Segment  2006 Qtr'!E22</f>
        <v>-13</v>
      </c>
      <c r="F20" s="55">
        <v>11</v>
      </c>
      <c r="G20" s="55"/>
      <c r="H20" s="55">
        <v>1</v>
      </c>
      <c r="I20" s="55"/>
      <c r="J20" s="55">
        <v>-1</v>
      </c>
      <c r="K20" s="55"/>
      <c r="L20" s="55">
        <v>18</v>
      </c>
      <c r="M20" s="55"/>
      <c r="N20" s="55">
        <f>+F20+D20+H20+J20</f>
        <v>-2</v>
      </c>
      <c r="O20" s="55"/>
      <c r="P20" s="55">
        <v>18</v>
      </c>
      <c r="Q20" s="55"/>
      <c r="R20" s="55"/>
      <c r="S20" s="561"/>
    </row>
    <row r="21" spans="3:19" ht="11.25" customHeight="1">
      <c r="C21" s="176" t="s">
        <v>158</v>
      </c>
      <c r="D21" s="256">
        <f>+'Segment  2006 Qtr'!E23</f>
        <v>89</v>
      </c>
      <c r="E21" s="484"/>
      <c r="F21" s="256">
        <v>74</v>
      </c>
      <c r="G21" s="256"/>
      <c r="H21" s="256">
        <v>95</v>
      </c>
      <c r="I21" s="256"/>
      <c r="J21" s="256">
        <v>94</v>
      </c>
      <c r="K21" s="256"/>
      <c r="L21" s="256">
        <v>35</v>
      </c>
      <c r="M21" s="256"/>
      <c r="N21" s="256">
        <f>+F21+D21+H21+J21</f>
        <v>352</v>
      </c>
      <c r="O21" s="256"/>
      <c r="P21" s="256">
        <v>235</v>
      </c>
      <c r="Q21" s="256"/>
      <c r="R21" s="345"/>
      <c r="S21" s="561"/>
    </row>
    <row r="22" spans="3:19" ht="11.25" customHeight="1">
      <c r="C22" s="176" t="s">
        <v>220</v>
      </c>
      <c r="D22" s="467">
        <f>D15+D17-D20+D18-D19-D21</f>
        <v>309</v>
      </c>
      <c r="E22" s="176"/>
      <c r="F22" s="467">
        <f>F15+F17-F20+F18-F19-F21</f>
        <v>295</v>
      </c>
      <c r="G22" s="349"/>
      <c r="H22" s="349">
        <f>H15+H17-H20+H18-H19-H21</f>
        <v>238</v>
      </c>
      <c r="I22" s="349"/>
      <c r="J22" s="349">
        <f>J15+J17-J20+J18-J19-J21</f>
        <v>262</v>
      </c>
      <c r="K22" s="349"/>
      <c r="L22" s="349">
        <f>L15+L17-L20+L18-L19-L21</f>
        <v>158</v>
      </c>
      <c r="M22" s="349"/>
      <c r="N22" s="467">
        <f>N15+N17-N20+N18-N19-N21</f>
        <v>1104</v>
      </c>
      <c r="O22" s="349"/>
      <c r="P22" s="467">
        <f>P15+P17-P20+P18-P19-P21</f>
        <v>683</v>
      </c>
      <c r="Q22" s="349"/>
      <c r="R22" s="40"/>
      <c r="S22" s="561"/>
    </row>
    <row r="23" spans="3:19" ht="7.5" customHeight="1">
      <c r="C23" s="193"/>
      <c r="D23" s="468"/>
      <c r="E23" s="193"/>
      <c r="F23" s="468"/>
      <c r="G23" s="442"/>
      <c r="H23" s="442"/>
      <c r="I23" s="442"/>
      <c r="J23" s="442"/>
      <c r="K23" s="442"/>
      <c r="L23" s="442"/>
      <c r="M23" s="442"/>
      <c r="N23" s="468"/>
      <c r="O23" s="442"/>
      <c r="P23" s="468"/>
      <c r="Q23" s="442"/>
      <c r="R23" s="379"/>
      <c r="S23" s="561"/>
    </row>
    <row r="24" spans="3:19" ht="11.25" customHeight="1">
      <c r="C24" s="177" t="s">
        <v>173</v>
      </c>
      <c r="D24" s="55">
        <f>+'Segment  2006 Qtr'!E26</f>
        <v>-11</v>
      </c>
      <c r="E24" s="177"/>
      <c r="F24" s="55">
        <v>-34</v>
      </c>
      <c r="G24" s="55"/>
      <c r="H24" s="216">
        <v>-32</v>
      </c>
      <c r="I24" s="55"/>
      <c r="J24" s="55">
        <v>-6</v>
      </c>
      <c r="K24" s="55"/>
      <c r="L24" s="55">
        <v>-14</v>
      </c>
      <c r="M24" s="55"/>
      <c r="N24" s="55">
        <f>+F24+D24+H24+J24</f>
        <v>-83</v>
      </c>
      <c r="O24" s="55"/>
      <c r="P24" s="55">
        <v>15</v>
      </c>
      <c r="Q24" s="55"/>
      <c r="R24" s="77"/>
      <c r="S24" s="561"/>
    </row>
    <row r="25" spans="3:19" ht="11.25" customHeight="1">
      <c r="C25" s="177" t="s">
        <v>266</v>
      </c>
      <c r="D25" s="55">
        <f>+'Segment  2006 Qtr'!E27</f>
        <v>-16</v>
      </c>
      <c r="E25" s="177"/>
      <c r="F25" s="55">
        <v>-32</v>
      </c>
      <c r="G25" s="55"/>
      <c r="H25" s="55">
        <v>-5</v>
      </c>
      <c r="I25" s="55"/>
      <c r="J25" s="55">
        <v>-2</v>
      </c>
      <c r="K25" s="55"/>
      <c r="L25" s="55">
        <v>-9</v>
      </c>
      <c r="M25" s="55"/>
      <c r="N25" s="55">
        <f>+F25+D25+H25+J25</f>
        <v>-55</v>
      </c>
      <c r="O25" s="55"/>
      <c r="P25" s="55">
        <v>-7</v>
      </c>
      <c r="Q25" s="55"/>
      <c r="R25" s="379"/>
      <c r="S25" s="561"/>
    </row>
    <row r="26" spans="3:19" ht="14.25" customHeight="1" thickBot="1">
      <c r="C26" s="177" t="s">
        <v>269</v>
      </c>
      <c r="D26" s="469">
        <f>D22-D24+D25</f>
        <v>304</v>
      </c>
      <c r="E26" s="485"/>
      <c r="F26" s="469">
        <f>F22-F24+F25</f>
        <v>297</v>
      </c>
      <c r="G26" s="397"/>
      <c r="H26" s="397">
        <f>H22-H24+H25</f>
        <v>265</v>
      </c>
      <c r="I26" s="397"/>
      <c r="J26" s="397">
        <f>J22-J24+J25</f>
        <v>266</v>
      </c>
      <c r="K26" s="397"/>
      <c r="L26" s="397">
        <f>L22-L24+L25</f>
        <v>163</v>
      </c>
      <c r="M26" s="397"/>
      <c r="N26" s="469">
        <f>N22-N24+N25</f>
        <v>1132</v>
      </c>
      <c r="O26" s="397"/>
      <c r="P26" s="469">
        <f>P22-P24+P25</f>
        <v>661</v>
      </c>
      <c r="Q26" s="397"/>
      <c r="R26" s="77"/>
      <c r="S26" s="561"/>
    </row>
    <row r="27" spans="4:19" ht="12" thickTop="1">
      <c r="D27" s="44"/>
      <c r="F27" s="44"/>
      <c r="G27" s="44"/>
      <c r="H27" s="44"/>
      <c r="I27" s="44"/>
      <c r="J27" s="44"/>
      <c r="K27" s="44"/>
      <c r="L27" s="44"/>
      <c r="M27" s="44"/>
      <c r="N27" s="444"/>
      <c r="O27" s="44"/>
      <c r="P27" s="444"/>
      <c r="Q27" s="44"/>
      <c r="R27" s="379"/>
      <c r="S27" s="124"/>
    </row>
    <row r="28" spans="3:19" ht="11.25">
      <c r="C28" s="183" t="s">
        <v>135</v>
      </c>
      <c r="D28" s="382"/>
      <c r="E28" s="183"/>
      <c r="F28" s="382"/>
      <c r="G28" s="382"/>
      <c r="H28" s="382"/>
      <c r="I28" s="382"/>
      <c r="J28" s="382"/>
      <c r="K28" s="382"/>
      <c r="L28" s="44"/>
      <c r="M28" s="44"/>
      <c r="N28" s="376"/>
      <c r="O28" s="44"/>
      <c r="P28" s="376"/>
      <c r="Q28" s="44"/>
      <c r="R28" s="379"/>
      <c r="S28" s="124"/>
    </row>
    <row r="29" spans="3:19" ht="11.25">
      <c r="C29" s="1" t="s">
        <v>130</v>
      </c>
      <c r="D29" s="17">
        <f>'Segment  2006 Qtr'!E54</f>
        <v>0.717</v>
      </c>
      <c r="F29" s="17">
        <v>0.704</v>
      </c>
      <c r="G29" s="17"/>
      <c r="H29" s="17">
        <v>0.707</v>
      </c>
      <c r="I29" s="17"/>
      <c r="J29" s="17">
        <v>0.687</v>
      </c>
      <c r="K29" s="17"/>
      <c r="L29" s="17">
        <v>0.816</v>
      </c>
      <c r="M29" s="17"/>
      <c r="N29" s="17">
        <f>'Segment  2006 YTD'!E56</f>
        <v>0.704</v>
      </c>
      <c r="O29" s="17"/>
      <c r="P29" s="17">
        <v>0.799</v>
      </c>
      <c r="Q29" s="17"/>
      <c r="R29" s="379"/>
      <c r="S29" s="444"/>
    </row>
    <row r="30" spans="3:19" ht="11.25">
      <c r="C30" s="1" t="s">
        <v>137</v>
      </c>
      <c r="D30" s="17">
        <f>'Segment  2006 Qtr'!E55</f>
        <v>0.083</v>
      </c>
      <c r="F30" s="17">
        <v>0.091</v>
      </c>
      <c r="G30" s="17"/>
      <c r="H30" s="17">
        <v>0.089</v>
      </c>
      <c r="I30" s="17"/>
      <c r="J30" s="17">
        <v>0.109</v>
      </c>
      <c r="K30" s="17"/>
      <c r="L30" s="17">
        <v>0.086</v>
      </c>
      <c r="M30" s="17"/>
      <c r="N30" s="17">
        <f>'Segment  2006 YTD'!E57</f>
        <v>0.092</v>
      </c>
      <c r="O30" s="17"/>
      <c r="P30" s="17">
        <v>0.088</v>
      </c>
      <c r="Q30" s="17"/>
      <c r="R30" s="379"/>
      <c r="S30" s="61"/>
    </row>
    <row r="31" spans="3:19" ht="11.25">
      <c r="C31" s="1" t="s">
        <v>145</v>
      </c>
      <c r="D31" s="17">
        <f>'Segment  2006 Qtr'!E56</f>
        <v>0.089</v>
      </c>
      <c r="F31" s="17">
        <v>0.084</v>
      </c>
      <c r="G31" s="19"/>
      <c r="H31" s="17">
        <v>0.091</v>
      </c>
      <c r="I31" s="19"/>
      <c r="J31" s="17">
        <v>0.087</v>
      </c>
      <c r="K31" s="19"/>
      <c r="L31" s="17">
        <v>0.07</v>
      </c>
      <c r="M31" s="19"/>
      <c r="N31" s="17">
        <f>'Segment  2006 YTD'!E58</f>
        <v>0.088</v>
      </c>
      <c r="O31" s="18"/>
      <c r="P31" s="17">
        <v>0.074</v>
      </c>
      <c r="Q31" s="18"/>
      <c r="R31" s="379"/>
      <c r="S31" s="379"/>
    </row>
    <row r="32" spans="3:19" ht="12" thickBot="1">
      <c r="C32" s="176" t="s">
        <v>59</v>
      </c>
      <c r="D32" s="184">
        <f>SUM(D29:D31)</f>
        <v>0.8889999999999999</v>
      </c>
      <c r="E32" s="486"/>
      <c r="F32" s="184">
        <f>SUM(F29:F31)</f>
        <v>0.8789999999999999</v>
      </c>
      <c r="G32" s="184"/>
      <c r="H32" s="184">
        <f>SUM(H29:H31)</f>
        <v>0.8869999999999999</v>
      </c>
      <c r="I32" s="184"/>
      <c r="J32" s="184">
        <f>SUM(J29:J31)</f>
        <v>0.883</v>
      </c>
      <c r="K32" s="184"/>
      <c r="L32" s="184">
        <f>SUM(L29:L31)</f>
        <v>0.972</v>
      </c>
      <c r="M32" s="184"/>
      <c r="N32" s="184">
        <f>SUM(N29:N31)</f>
        <v>0.8839999999999999</v>
      </c>
      <c r="O32" s="184"/>
      <c r="P32" s="184">
        <f>SUM(P29:P31)</f>
        <v>0.961</v>
      </c>
      <c r="Q32" s="184"/>
      <c r="R32" s="379"/>
      <c r="S32" s="34"/>
    </row>
    <row r="33" spans="4:19" ht="12" thickTop="1">
      <c r="D33" s="44"/>
      <c r="F33" s="44"/>
      <c r="G33" s="64"/>
      <c r="H33" s="44"/>
      <c r="I33" s="64"/>
      <c r="J33" s="44"/>
      <c r="K33" s="44"/>
      <c r="L33" s="44"/>
      <c r="M33" s="44"/>
      <c r="N33" s="444"/>
      <c r="O33" s="44"/>
      <c r="P33" s="444"/>
      <c r="Q33" s="44"/>
      <c r="R33" s="456"/>
      <c r="S33" s="34"/>
    </row>
    <row r="34" spans="3:19" ht="7.5" customHeight="1">
      <c r="C34" s="35"/>
      <c r="D34" s="39"/>
      <c r="E34" s="35"/>
      <c r="F34" s="39"/>
      <c r="G34" s="35"/>
      <c r="H34" s="39"/>
      <c r="I34" s="39"/>
      <c r="J34" s="39"/>
      <c r="K34" s="39"/>
      <c r="L34" s="39"/>
      <c r="M34" s="39"/>
      <c r="N34" s="39"/>
      <c r="O34" s="39"/>
      <c r="P34" s="39"/>
      <c r="Q34" s="39"/>
      <c r="R34" s="61"/>
      <c r="S34" s="34"/>
    </row>
    <row r="35" spans="3:19" ht="11.25">
      <c r="C35" s="15" t="s">
        <v>3</v>
      </c>
      <c r="D35" s="39"/>
      <c r="E35" s="15"/>
      <c r="F35" s="39"/>
      <c r="G35" s="15"/>
      <c r="H35" s="39"/>
      <c r="I35" s="44"/>
      <c r="J35" s="39"/>
      <c r="K35" s="44"/>
      <c r="L35" s="44"/>
      <c r="M35" s="44"/>
      <c r="N35" s="31"/>
      <c r="O35" s="44"/>
      <c r="P35" s="31"/>
      <c r="Q35" s="44"/>
      <c r="R35" s="87"/>
      <c r="S35" s="379"/>
    </row>
    <row r="36" spans="3:19" ht="11.25">
      <c r="C36" s="1" t="s">
        <v>552</v>
      </c>
      <c r="D36" s="39">
        <v>0</v>
      </c>
      <c r="F36" s="39">
        <v>0</v>
      </c>
      <c r="H36" s="39">
        <v>0</v>
      </c>
      <c r="I36" s="39"/>
      <c r="J36" s="39">
        <v>0</v>
      </c>
      <c r="K36" s="44"/>
      <c r="L36" s="39">
        <v>0</v>
      </c>
      <c r="M36" s="44"/>
      <c r="N36" s="39">
        <v>0</v>
      </c>
      <c r="O36" s="44"/>
      <c r="P36" s="39">
        <v>0</v>
      </c>
      <c r="Q36" s="44"/>
      <c r="R36" s="87"/>
      <c r="S36" s="379"/>
    </row>
    <row r="37" spans="3:19" ht="11.25">
      <c r="C37" s="1" t="s">
        <v>327</v>
      </c>
      <c r="D37" s="39">
        <v>0</v>
      </c>
      <c r="F37" s="39">
        <v>0</v>
      </c>
      <c r="H37" s="39">
        <v>0</v>
      </c>
      <c r="I37" s="39"/>
      <c r="J37" s="39">
        <v>0</v>
      </c>
      <c r="K37" s="39"/>
      <c r="L37" s="39">
        <v>114</v>
      </c>
      <c r="M37" s="39"/>
      <c r="N37" s="33">
        <f>+F37+D37+H37+J37</f>
        <v>0</v>
      </c>
      <c r="O37" s="39"/>
      <c r="P37" s="33">
        <v>557</v>
      </c>
      <c r="Q37" s="39"/>
      <c r="R37" s="61"/>
      <c r="S37" s="417"/>
    </row>
    <row r="38" spans="3:19" ht="11.25">
      <c r="C38" s="1" t="s">
        <v>346</v>
      </c>
      <c r="D38" s="39">
        <v>20</v>
      </c>
      <c r="F38" s="39">
        <v>30</v>
      </c>
      <c r="H38" s="39">
        <v>11</v>
      </c>
      <c r="J38" s="39">
        <v>4</v>
      </c>
      <c r="K38" s="39"/>
      <c r="L38" s="39">
        <v>13</v>
      </c>
      <c r="M38" s="39"/>
      <c r="N38" s="33">
        <f>+F38+D38+H38+J38</f>
        <v>65</v>
      </c>
      <c r="O38" s="39"/>
      <c r="P38" s="33">
        <v>103</v>
      </c>
      <c r="Q38" s="39"/>
      <c r="R38" s="61"/>
      <c r="S38" s="417"/>
    </row>
    <row r="39" spans="4:19" ht="11.25">
      <c r="D39" s="129"/>
      <c r="F39" s="129"/>
      <c r="G39" s="129"/>
      <c r="H39" s="129"/>
      <c r="I39" s="129"/>
      <c r="J39" s="129"/>
      <c r="K39" s="129"/>
      <c r="L39" s="129"/>
      <c r="M39" s="129"/>
      <c r="N39" s="129"/>
      <c r="O39" s="129"/>
      <c r="P39" s="129"/>
      <c r="Q39" s="44"/>
      <c r="R39" s="379"/>
      <c r="S39" s="417"/>
    </row>
    <row r="40" spans="3:19" ht="11.25">
      <c r="C40" s="15" t="s">
        <v>15</v>
      </c>
      <c r="D40" s="129"/>
      <c r="F40" s="129"/>
      <c r="G40" s="129"/>
      <c r="H40" s="129"/>
      <c r="I40" s="129"/>
      <c r="J40" s="129"/>
      <c r="K40" s="129"/>
      <c r="L40" s="129"/>
      <c r="M40" s="129"/>
      <c r="N40" s="129"/>
      <c r="O40" s="129"/>
      <c r="P40" s="129"/>
      <c r="Q40" s="44"/>
      <c r="R40" s="379"/>
      <c r="S40" s="77"/>
    </row>
    <row r="41" spans="3:19" ht="11.25" customHeight="1">
      <c r="C41" s="1" t="s">
        <v>132</v>
      </c>
      <c r="D41" s="129">
        <f>(D10/L10)-1</f>
        <v>0.16129032258064524</v>
      </c>
      <c r="F41" s="129">
        <f>(F10/'Insurance-North American  2'!D10)-1</f>
        <v>-0.03949967083607642</v>
      </c>
      <c r="G41" s="129"/>
      <c r="H41" s="129">
        <f>(H10/'Insurance-North American  2'!F10)-1</f>
        <v>0.05255781359495448</v>
      </c>
      <c r="I41" s="129"/>
      <c r="J41" s="129">
        <f>(J10/'Insurance-North American  2'!H10)-1</f>
        <v>-0.052332912988650726</v>
      </c>
      <c r="K41" s="129"/>
      <c r="L41" s="129">
        <v>0.040950040950040956</v>
      </c>
      <c r="M41" s="129"/>
      <c r="N41" s="129">
        <f>(+N10/P10)-1</f>
        <v>0.023608478373255304</v>
      </c>
      <c r="O41" s="129"/>
      <c r="P41" s="129">
        <f>(P10/'Insurance-North American  2'!K10)-1</f>
        <v>0.06987463126843663</v>
      </c>
      <c r="Q41" s="129"/>
      <c r="R41" s="417"/>
      <c r="S41" s="247"/>
    </row>
    <row r="42" spans="3:19" ht="11.25" customHeight="1">
      <c r="C42" s="1" t="s">
        <v>20</v>
      </c>
      <c r="D42" s="129">
        <f>(D11/L11)-1</f>
        <v>0.09043736100815414</v>
      </c>
      <c r="F42" s="129">
        <f>(F11/'Insurance-North American  2'!D11)-1</f>
        <v>-0.030094043887147315</v>
      </c>
      <c r="G42" s="129"/>
      <c r="H42" s="129">
        <f>(H11/'Insurance-North American  2'!F11)-1</f>
        <v>-0.031183557760453562</v>
      </c>
      <c r="I42" s="129"/>
      <c r="J42" s="129">
        <f>(J11/'Insurance-North American  2'!H11)-1</f>
        <v>-0.029818181818181855</v>
      </c>
      <c r="K42" s="129"/>
      <c r="L42" s="129">
        <v>0.007468259895444307</v>
      </c>
      <c r="M42" s="129"/>
      <c r="N42" s="246">
        <f>(+N11/P11)-1</f>
        <v>-0.0019197207678882666</v>
      </c>
      <c r="O42" s="129"/>
      <c r="P42" s="129">
        <f>(P11/'Insurance-North American  2'!K11)-1</f>
        <v>0.12441130298273162</v>
      </c>
      <c r="Q42" s="129"/>
      <c r="R42" s="417"/>
      <c r="S42" s="44"/>
    </row>
    <row r="43" spans="4:18" ht="8.25" customHeight="1">
      <c r="D43" s="129"/>
      <c r="F43" s="129"/>
      <c r="H43" s="129"/>
      <c r="I43" s="129"/>
      <c r="J43" s="129"/>
      <c r="K43" s="129"/>
      <c r="L43" s="129"/>
      <c r="M43" s="129"/>
      <c r="N43" s="129"/>
      <c r="O43" s="129"/>
      <c r="P43" s="129"/>
      <c r="Q43" s="129"/>
      <c r="R43" s="417"/>
    </row>
    <row r="44" spans="3:18" ht="11.25">
      <c r="C44" s="15" t="s">
        <v>16</v>
      </c>
      <c r="D44" s="44"/>
      <c r="E44" s="15"/>
      <c r="F44" s="44"/>
      <c r="G44" s="15"/>
      <c r="H44" s="44"/>
      <c r="I44" s="44"/>
      <c r="J44" s="44"/>
      <c r="K44" s="44"/>
      <c r="L44" s="44"/>
      <c r="M44" s="44"/>
      <c r="N44" s="44"/>
      <c r="O44" s="44"/>
      <c r="P44" s="44"/>
      <c r="Q44" s="44"/>
      <c r="R44" s="77"/>
    </row>
    <row r="45" spans="3:18" ht="11.25" customHeight="1">
      <c r="C45" s="1" t="s">
        <v>58</v>
      </c>
      <c r="D45" s="246">
        <f>D10/D9</f>
        <v>0.6601073345259392</v>
      </c>
      <c r="F45" s="246">
        <f>F10/F9</f>
        <v>0.572156862745098</v>
      </c>
      <c r="H45" s="246">
        <f>H10/H9</f>
        <v>0.5743785850860421</v>
      </c>
      <c r="I45" s="246"/>
      <c r="J45" s="246">
        <f>J10/J9</f>
        <v>0.6644562334217506</v>
      </c>
      <c r="K45" s="44"/>
      <c r="L45" s="246">
        <f>L10/L9</f>
        <v>0.6181906614785992</v>
      </c>
      <c r="M45" s="246"/>
      <c r="N45" s="246">
        <f>N10/N9</f>
        <v>0.614715926730829</v>
      </c>
      <c r="O45" s="246"/>
      <c r="P45" s="246">
        <f>P10/P9</f>
        <v>0.6315159429752966</v>
      </c>
      <c r="Q45" s="246"/>
      <c r="R45" s="247"/>
    </row>
    <row r="46" spans="8:18" ht="11.25">
      <c r="H46" s="44"/>
      <c r="I46" s="44"/>
      <c r="J46" s="44"/>
      <c r="K46" s="44"/>
      <c r="L46" s="44"/>
      <c r="M46" s="44"/>
      <c r="N46" s="44"/>
      <c r="O46" s="44"/>
      <c r="P46" s="44"/>
      <c r="Q46" s="44"/>
      <c r="R46" s="77"/>
    </row>
    <row r="47" spans="3:9" ht="11.25">
      <c r="C47" s="571" t="str">
        <f>+'Financial Highlights'!C48</f>
        <v>(1) See page 25 Non-GAAP Financial Measures.</v>
      </c>
      <c r="D47" s="572"/>
      <c r="E47" s="37"/>
      <c r="F47" s="37"/>
      <c r="G47" s="37"/>
      <c r="H47" s="59"/>
      <c r="I47" s="59"/>
    </row>
    <row r="48" ht="11.25">
      <c r="C48" s="275" t="s">
        <v>553</v>
      </c>
    </row>
  </sheetData>
  <sheetProtection objects="1"/>
  <mergeCells count="4">
    <mergeCell ref="C1:S1"/>
    <mergeCell ref="C2:S2"/>
    <mergeCell ref="C3:S3"/>
    <mergeCell ref="C4:S4"/>
  </mergeCells>
  <hyperlinks>
    <hyperlink ref="C47" location="'Reconciliation Non-GAAP'!A1" display="'Reconciliation Non-GAAP'!A1"/>
  </hyperlinks>
  <printOptions/>
  <pageMargins left="0.5" right="0.5" top="0.5" bottom="0.5" header="0.75" footer="0.25"/>
  <pageSetup horizontalDpi="600" verticalDpi="600" orientation="landscape" r:id="rId2"/>
  <headerFooter alignWithMargins="0">
    <oddFooter>&amp;L&amp;A&amp;R&amp;"Arial,Regular"&amp;8Page 8</oddFooter>
  </headerFooter>
  <drawing r:id="rId1"/>
</worksheet>
</file>

<file path=xl/worksheets/sheet11.xml><?xml version="1.0" encoding="utf-8"?>
<worksheet xmlns="http://schemas.openxmlformats.org/spreadsheetml/2006/main" xmlns:r="http://schemas.openxmlformats.org/officeDocument/2006/relationships">
  <sheetPr codeName="Sheet22"/>
  <dimension ref="C1:O35"/>
  <sheetViews>
    <sheetView workbookViewId="0" topLeftCell="A1">
      <selection activeCell="A6" sqref="A6"/>
    </sheetView>
  </sheetViews>
  <sheetFormatPr defaultColWidth="9.33203125" defaultRowHeight="12.75"/>
  <cols>
    <col min="1" max="2" width="3.33203125" style="1" customWidth="1"/>
    <col min="3" max="3" width="41.33203125" style="1" customWidth="1"/>
    <col min="4" max="4" width="8.83203125" style="1" customWidth="1"/>
    <col min="5" max="5" width="2.33203125" style="1" customWidth="1"/>
    <col min="6" max="6" width="8.83203125" style="1" customWidth="1"/>
    <col min="7" max="7" width="2.33203125" style="1" customWidth="1"/>
    <col min="8" max="8" width="8.83203125" style="1" customWidth="1"/>
    <col min="9" max="9" width="2.33203125" style="1" customWidth="1"/>
    <col min="10" max="10" width="2.16015625" style="1" customWidth="1"/>
    <col min="11" max="11" width="8.83203125" style="1" customWidth="1"/>
    <col min="12" max="12" width="2.33203125" style="7" customWidth="1"/>
    <col min="13" max="13" width="8.83203125" style="1" customWidth="1"/>
    <col min="14" max="16384" width="9" style="1" customWidth="1"/>
  </cols>
  <sheetData>
    <row r="1" spans="3:15" ht="12.75">
      <c r="C1" s="619" t="s">
        <v>96</v>
      </c>
      <c r="D1" s="619"/>
      <c r="E1" s="619"/>
      <c r="F1" s="619"/>
      <c r="G1" s="619"/>
      <c r="H1" s="619"/>
      <c r="I1" s="619"/>
      <c r="J1" s="619"/>
      <c r="K1" s="619"/>
      <c r="L1" s="619"/>
      <c r="M1" s="619"/>
      <c r="N1" s="619"/>
      <c r="O1" s="619"/>
    </row>
    <row r="2" spans="3:15" ht="12">
      <c r="C2" s="618" t="s">
        <v>82</v>
      </c>
      <c r="D2" s="618"/>
      <c r="E2" s="618"/>
      <c r="F2" s="618"/>
      <c r="G2" s="618"/>
      <c r="H2" s="618"/>
      <c r="I2" s="618"/>
      <c r="J2" s="618"/>
      <c r="K2" s="618"/>
      <c r="L2" s="618"/>
      <c r="M2" s="618"/>
      <c r="N2" s="618"/>
      <c r="O2" s="618"/>
    </row>
    <row r="3" spans="3:15" ht="12">
      <c r="C3" s="617" t="s">
        <v>154</v>
      </c>
      <c r="D3" s="617"/>
      <c r="E3" s="617"/>
      <c r="F3" s="617"/>
      <c r="G3" s="617"/>
      <c r="H3" s="617"/>
      <c r="I3" s="617"/>
      <c r="J3" s="617"/>
      <c r="K3" s="617"/>
      <c r="L3" s="617"/>
      <c r="M3" s="617"/>
      <c r="N3" s="617"/>
      <c r="O3" s="617"/>
    </row>
    <row r="4" spans="3:15" ht="12">
      <c r="C4" s="617" t="s">
        <v>170</v>
      </c>
      <c r="D4" s="617"/>
      <c r="E4" s="617"/>
      <c r="F4" s="617"/>
      <c r="G4" s="617"/>
      <c r="H4" s="617"/>
      <c r="I4" s="617"/>
      <c r="J4" s="617"/>
      <c r="K4" s="617"/>
      <c r="L4" s="617"/>
      <c r="M4" s="617"/>
      <c r="N4" s="617"/>
      <c r="O4" s="617"/>
    </row>
    <row r="5" spans="3:13" ht="11.25" customHeight="1">
      <c r="C5" s="539"/>
      <c r="D5" s="91"/>
      <c r="E5" s="91"/>
      <c r="F5" s="91"/>
      <c r="G5" s="91"/>
      <c r="H5" s="91"/>
      <c r="I5" s="91"/>
      <c r="J5" s="91"/>
      <c r="K5" s="91"/>
      <c r="L5" s="508"/>
      <c r="M5" s="91"/>
    </row>
    <row r="6" spans="3:13" ht="12.75">
      <c r="C6" s="3" t="s">
        <v>189</v>
      </c>
      <c r="D6" s="3"/>
      <c r="E6" s="3"/>
      <c r="F6" s="3"/>
      <c r="K6" s="440" t="s">
        <v>19</v>
      </c>
      <c r="L6" s="426"/>
      <c r="M6" s="456"/>
    </row>
    <row r="7" spans="4:13" ht="11.25">
      <c r="D7" s="4" t="s">
        <v>321</v>
      </c>
      <c r="E7" s="81"/>
      <c r="F7" s="4" t="s">
        <v>433</v>
      </c>
      <c r="G7" s="81"/>
      <c r="H7" s="4" t="s">
        <v>434</v>
      </c>
      <c r="I7" s="81"/>
      <c r="J7" s="4"/>
      <c r="K7" s="23">
        <v>2004</v>
      </c>
      <c r="L7" s="5"/>
      <c r="M7" s="30"/>
    </row>
    <row r="8" spans="4:13" ht="13.5" customHeight="1">
      <c r="D8" s="2"/>
      <c r="F8" s="2"/>
      <c r="H8" s="2"/>
      <c r="K8" s="2"/>
      <c r="M8" s="124"/>
    </row>
    <row r="9" spans="3:13" ht="11.25" customHeight="1">
      <c r="C9" s="1" t="s">
        <v>131</v>
      </c>
      <c r="D9" s="39">
        <v>2461</v>
      </c>
      <c r="F9" s="39">
        <v>2359</v>
      </c>
      <c r="G9" s="33"/>
      <c r="H9" s="33">
        <v>2313</v>
      </c>
      <c r="I9" s="33"/>
      <c r="J9" s="33"/>
      <c r="K9" s="33">
        <v>8453</v>
      </c>
      <c r="L9" s="379"/>
      <c r="M9" s="124"/>
    </row>
    <row r="10" spans="3:13" ht="11.25" customHeight="1">
      <c r="C10" s="1" t="s">
        <v>132</v>
      </c>
      <c r="D10" s="55">
        <v>1519</v>
      </c>
      <c r="F10" s="55">
        <v>1427</v>
      </c>
      <c r="G10" s="42"/>
      <c r="H10" s="55">
        <v>1586</v>
      </c>
      <c r="I10" s="42"/>
      <c r="J10" s="42"/>
      <c r="K10" s="42">
        <v>5424</v>
      </c>
      <c r="L10" s="379"/>
      <c r="M10" s="124"/>
    </row>
    <row r="11" spans="3:13" ht="11.25" customHeight="1">
      <c r="C11" s="1" t="s">
        <v>133</v>
      </c>
      <c r="D11" s="55">
        <v>1595</v>
      </c>
      <c r="F11" s="55">
        <v>1411</v>
      </c>
      <c r="G11" s="42"/>
      <c r="H11" s="55">
        <v>1375</v>
      </c>
      <c r="I11" s="42"/>
      <c r="J11" s="42"/>
      <c r="K11" s="42">
        <v>5096</v>
      </c>
      <c r="L11" s="379"/>
      <c r="M11" s="124"/>
    </row>
    <row r="12" spans="3:13" ht="11.25" customHeight="1">
      <c r="C12" s="1" t="s">
        <v>126</v>
      </c>
      <c r="D12" s="55">
        <v>1483</v>
      </c>
      <c r="F12" s="55">
        <v>1018</v>
      </c>
      <c r="G12" s="42"/>
      <c r="H12" s="55">
        <v>975</v>
      </c>
      <c r="I12" s="42"/>
      <c r="J12" s="42"/>
      <c r="K12" s="42">
        <v>4266</v>
      </c>
      <c r="L12" s="379"/>
      <c r="M12" s="124"/>
    </row>
    <row r="13" spans="3:13" ht="11.25" customHeight="1">
      <c r="C13" s="1" t="s">
        <v>136</v>
      </c>
      <c r="D13" s="55">
        <v>136</v>
      </c>
      <c r="F13" s="55">
        <v>131</v>
      </c>
      <c r="G13" s="42"/>
      <c r="H13" s="55">
        <v>119</v>
      </c>
      <c r="I13" s="42"/>
      <c r="J13" s="42"/>
      <c r="K13" s="42">
        <v>458</v>
      </c>
      <c r="L13" s="379"/>
      <c r="M13" s="124"/>
    </row>
    <row r="14" spans="3:13" ht="11.25" customHeight="1">
      <c r="C14" s="1" t="s">
        <v>134</v>
      </c>
      <c r="D14" s="55">
        <v>99</v>
      </c>
      <c r="E14" s="81"/>
      <c r="F14" s="55">
        <v>118</v>
      </c>
      <c r="G14" s="87"/>
      <c r="H14" s="55">
        <v>115</v>
      </c>
      <c r="I14" s="87"/>
      <c r="J14" s="87"/>
      <c r="K14" s="42">
        <v>470</v>
      </c>
      <c r="L14" s="345"/>
      <c r="M14" s="124"/>
    </row>
    <row r="15" spans="3:13" ht="11.25" customHeight="1">
      <c r="C15" s="1" t="s">
        <v>63</v>
      </c>
      <c r="D15" s="466">
        <f>D11-D12-D13-D14</f>
        <v>-123</v>
      </c>
      <c r="F15" s="466">
        <f>F11-F12-F13-F14</f>
        <v>144</v>
      </c>
      <c r="G15" s="264"/>
      <c r="H15" s="264">
        <f>H11-H12-H13-H14</f>
        <v>166</v>
      </c>
      <c r="I15" s="264"/>
      <c r="J15" s="264"/>
      <c r="K15" s="264">
        <f>K11-K12-K13-K14</f>
        <v>-98</v>
      </c>
      <c r="L15" s="40"/>
      <c r="M15" s="124"/>
    </row>
    <row r="16" spans="3:13" ht="7.5" customHeight="1">
      <c r="C16" s="25"/>
      <c r="D16" s="453"/>
      <c r="E16" s="25"/>
      <c r="F16" s="453"/>
      <c r="G16" s="129"/>
      <c r="H16" s="129"/>
      <c r="I16" s="129"/>
      <c r="J16" s="129"/>
      <c r="K16" s="439"/>
      <c r="L16" s="379"/>
      <c r="M16" s="124"/>
    </row>
    <row r="17" spans="3:13" ht="11.25" customHeight="1">
      <c r="C17" s="1" t="s">
        <v>9</v>
      </c>
      <c r="D17" s="55">
        <v>174</v>
      </c>
      <c r="F17" s="55">
        <v>172</v>
      </c>
      <c r="G17" s="42"/>
      <c r="H17" s="55">
        <v>163</v>
      </c>
      <c r="I17" s="42"/>
      <c r="J17" s="55"/>
      <c r="K17" s="42">
        <v>583</v>
      </c>
      <c r="L17" s="55"/>
      <c r="M17" s="124"/>
    </row>
    <row r="18" spans="3:13" ht="11.25" customHeight="1">
      <c r="C18" s="177" t="s">
        <v>173</v>
      </c>
      <c r="D18" s="55">
        <v>17</v>
      </c>
      <c r="E18" s="177"/>
      <c r="F18" s="55">
        <v>17</v>
      </c>
      <c r="G18" s="55"/>
      <c r="H18" s="55">
        <v>-5</v>
      </c>
      <c r="I18" s="55"/>
      <c r="J18" s="55"/>
      <c r="K18" s="42">
        <v>134</v>
      </c>
      <c r="L18" s="55"/>
      <c r="M18" s="124"/>
    </row>
    <row r="19" spans="3:13" ht="11.25" customHeight="1">
      <c r="C19" s="1" t="s">
        <v>146</v>
      </c>
      <c r="D19" s="55">
        <v>0</v>
      </c>
      <c r="F19" s="55">
        <v>0</v>
      </c>
      <c r="G19" s="55"/>
      <c r="H19" s="55">
        <v>0</v>
      </c>
      <c r="I19" s="55"/>
      <c r="J19" s="55"/>
      <c r="K19" s="42">
        <v>1</v>
      </c>
      <c r="L19" s="55"/>
      <c r="M19" s="124"/>
    </row>
    <row r="20" spans="3:13" ht="11.25" customHeight="1">
      <c r="C20" s="1" t="s">
        <v>265</v>
      </c>
      <c r="D20" s="55">
        <v>-1</v>
      </c>
      <c r="F20" s="55">
        <v>1</v>
      </c>
      <c r="G20" s="55"/>
      <c r="H20" s="55">
        <v>0</v>
      </c>
      <c r="I20" s="55"/>
      <c r="J20" s="55"/>
      <c r="K20" s="42">
        <v>6</v>
      </c>
      <c r="L20" s="55"/>
      <c r="M20" s="124"/>
    </row>
    <row r="21" spans="3:13" ht="11.25" customHeight="1">
      <c r="C21" s="176" t="s">
        <v>158</v>
      </c>
      <c r="D21" s="256">
        <v>22</v>
      </c>
      <c r="E21" s="484"/>
      <c r="F21" s="256">
        <v>90</v>
      </c>
      <c r="G21" s="256"/>
      <c r="H21" s="256">
        <v>88</v>
      </c>
      <c r="I21" s="256"/>
      <c r="J21" s="256"/>
      <c r="K21" s="232">
        <v>114</v>
      </c>
      <c r="L21" s="345"/>
      <c r="M21" s="124"/>
    </row>
    <row r="22" spans="3:13" ht="11.25" customHeight="1">
      <c r="C22" s="176" t="s">
        <v>220</v>
      </c>
      <c r="D22" s="467">
        <f>D15+D17-D20+D18-D19-D21</f>
        <v>47</v>
      </c>
      <c r="E22" s="176"/>
      <c r="F22" s="467">
        <f>F15+F17-F20+F18-F19-F21</f>
        <v>242</v>
      </c>
      <c r="G22" s="349"/>
      <c r="H22" s="349">
        <f>H15+H17-H20+H18-H19-H21</f>
        <v>236</v>
      </c>
      <c r="I22" s="349"/>
      <c r="J22" s="349"/>
      <c r="K22" s="349">
        <f>K15+K17-K20+K18-K19-K21</f>
        <v>498</v>
      </c>
      <c r="L22" s="40"/>
      <c r="M22" s="124"/>
    </row>
    <row r="23" spans="3:13" ht="7.5" customHeight="1">
      <c r="C23" s="193"/>
      <c r="D23" s="468"/>
      <c r="E23" s="193"/>
      <c r="F23" s="468"/>
      <c r="G23" s="442"/>
      <c r="H23" s="442"/>
      <c r="I23" s="442"/>
      <c r="J23" s="442"/>
      <c r="K23" s="443"/>
      <c r="L23" s="379"/>
      <c r="M23" s="124"/>
    </row>
    <row r="24" spans="3:13" ht="11.25" customHeight="1">
      <c r="C24" s="177" t="s">
        <v>173</v>
      </c>
      <c r="D24" s="55">
        <v>17</v>
      </c>
      <c r="E24" s="177"/>
      <c r="F24" s="55">
        <v>17</v>
      </c>
      <c r="G24" s="55"/>
      <c r="H24" s="55">
        <v>-5</v>
      </c>
      <c r="I24" s="55"/>
      <c r="J24" s="55"/>
      <c r="K24" s="42">
        <v>134</v>
      </c>
      <c r="L24" s="77"/>
      <c r="M24" s="124"/>
    </row>
    <row r="25" spans="3:13" ht="11.25" customHeight="1">
      <c r="C25" s="177" t="s">
        <v>266</v>
      </c>
      <c r="D25" s="55">
        <v>2</v>
      </c>
      <c r="E25" s="177"/>
      <c r="F25" s="55">
        <v>1</v>
      </c>
      <c r="G25" s="55"/>
      <c r="H25" s="55">
        <v>-1</v>
      </c>
      <c r="I25" s="55"/>
      <c r="J25" s="55"/>
      <c r="K25" s="42">
        <v>30</v>
      </c>
      <c r="L25" s="379"/>
      <c r="M25" s="124"/>
    </row>
    <row r="26" spans="3:13" ht="14.25" customHeight="1" thickBot="1">
      <c r="C26" s="177" t="s">
        <v>269</v>
      </c>
      <c r="D26" s="469">
        <f>D22-D24+D25</f>
        <v>32</v>
      </c>
      <c r="E26" s="485"/>
      <c r="F26" s="469">
        <f>F22-F24+F25</f>
        <v>226</v>
      </c>
      <c r="G26" s="397"/>
      <c r="H26" s="397">
        <f>H22-H24+H25</f>
        <v>240</v>
      </c>
      <c r="I26" s="397"/>
      <c r="J26" s="397"/>
      <c r="K26" s="397">
        <f>K22-K24+K25</f>
        <v>394</v>
      </c>
      <c r="L26" s="77"/>
      <c r="M26" s="124"/>
    </row>
    <row r="27" spans="4:13" ht="12" thickTop="1">
      <c r="D27" s="44"/>
      <c r="F27" s="44"/>
      <c r="G27" s="44"/>
      <c r="H27" s="44"/>
      <c r="I27" s="44"/>
      <c r="J27" s="44"/>
      <c r="K27" s="444"/>
      <c r="L27" s="379"/>
      <c r="M27" s="124"/>
    </row>
    <row r="28" spans="3:13" ht="11.25">
      <c r="C28" s="183" t="s">
        <v>135</v>
      </c>
      <c r="D28" s="382"/>
      <c r="E28" s="183"/>
      <c r="F28" s="382"/>
      <c r="G28" s="382"/>
      <c r="H28" s="382"/>
      <c r="I28" s="382"/>
      <c r="J28" s="44"/>
      <c r="K28" s="376"/>
      <c r="L28" s="379"/>
      <c r="M28" s="124"/>
    </row>
    <row r="29" spans="3:13" ht="11.25">
      <c r="C29" s="1" t="s">
        <v>130</v>
      </c>
      <c r="D29" s="17">
        <v>0.93</v>
      </c>
      <c r="F29" s="17">
        <v>0.722</v>
      </c>
      <c r="G29" s="17"/>
      <c r="H29" s="17">
        <v>0.709</v>
      </c>
      <c r="I29" s="17"/>
      <c r="J29" s="17"/>
      <c r="K29" s="17">
        <v>0.837</v>
      </c>
      <c r="L29" s="379"/>
      <c r="M29" s="444"/>
    </row>
    <row r="30" spans="3:13" ht="11.25">
      <c r="C30" s="1" t="s">
        <v>137</v>
      </c>
      <c r="D30" s="17">
        <v>0.086</v>
      </c>
      <c r="F30" s="17">
        <v>0.092</v>
      </c>
      <c r="G30" s="17"/>
      <c r="H30" s="17">
        <v>0.087</v>
      </c>
      <c r="I30" s="17"/>
      <c r="J30" s="17"/>
      <c r="K30" s="17">
        <v>0.09</v>
      </c>
      <c r="L30" s="379"/>
      <c r="M30" s="61"/>
    </row>
    <row r="31" spans="3:13" ht="11.25">
      <c r="C31" s="1" t="s">
        <v>145</v>
      </c>
      <c r="D31" s="17">
        <v>0.063</v>
      </c>
      <c r="F31" s="17">
        <v>0.083</v>
      </c>
      <c r="G31" s="19"/>
      <c r="H31" s="17">
        <v>0.084</v>
      </c>
      <c r="I31" s="19"/>
      <c r="J31" s="18"/>
      <c r="K31" s="17">
        <v>0.092</v>
      </c>
      <c r="L31" s="379"/>
      <c r="M31" s="379"/>
    </row>
    <row r="32" spans="3:13" ht="12" thickBot="1">
      <c r="C32" s="176" t="s">
        <v>59</v>
      </c>
      <c r="D32" s="184">
        <f>SUM(D29:D31)</f>
        <v>1.079</v>
      </c>
      <c r="E32" s="486"/>
      <c r="F32" s="184">
        <f>SUM(F29:F31)</f>
        <v>0.8969999999999999</v>
      </c>
      <c r="G32" s="184"/>
      <c r="H32" s="184">
        <f>SUM(H29:H31)</f>
        <v>0.8799999999999999</v>
      </c>
      <c r="I32" s="184"/>
      <c r="J32" s="184"/>
      <c r="K32" s="184">
        <f>SUM(K29:K31)</f>
        <v>1.019</v>
      </c>
      <c r="L32" s="379"/>
      <c r="M32" s="34"/>
    </row>
    <row r="33" spans="4:13" ht="12" thickTop="1">
      <c r="D33" s="44"/>
      <c r="F33" s="44"/>
      <c r="G33" s="64"/>
      <c r="H33" s="44"/>
      <c r="I33" s="64"/>
      <c r="J33" s="44"/>
      <c r="K33" s="444"/>
      <c r="L33" s="456"/>
      <c r="M33" s="34"/>
    </row>
    <row r="34" spans="3:13" ht="7.5" customHeight="1">
      <c r="C34" s="35"/>
      <c r="D34" s="39"/>
      <c r="E34" s="35"/>
      <c r="F34" s="39"/>
      <c r="G34" s="35"/>
      <c r="H34" s="39"/>
      <c r="I34" s="39"/>
      <c r="J34" s="39"/>
      <c r="K34" s="39"/>
      <c r="L34" s="61"/>
      <c r="M34" s="34"/>
    </row>
    <row r="35" spans="3:11" ht="11.25">
      <c r="C35" s="571" t="str">
        <f>+'Financial Highlights'!C48</f>
        <v>(1) See page 25 Non-GAAP Financial Measures.</v>
      </c>
      <c r="D35" s="572"/>
      <c r="E35" s="37"/>
      <c r="F35" s="37"/>
      <c r="G35" s="37"/>
      <c r="H35" s="59"/>
      <c r="I35" s="59"/>
      <c r="K35" s="450"/>
    </row>
  </sheetData>
  <sheetProtection objects="1"/>
  <mergeCells count="4">
    <mergeCell ref="C4:O4"/>
    <mergeCell ref="C3:O3"/>
    <mergeCell ref="C2:O2"/>
    <mergeCell ref="C1:O1"/>
  </mergeCells>
  <hyperlinks>
    <hyperlink ref="C35" location="'Reconciliation Non-GAAP'!A1" display="'Reconciliation Non-GAAP'!A1"/>
  </hyperlinks>
  <printOptions/>
  <pageMargins left="0.5" right="0.5" top="0.5" bottom="0.5" header="0.75" footer="0.25"/>
  <pageSetup horizontalDpi="600" verticalDpi="600" orientation="landscape" r:id="rId2"/>
  <headerFooter alignWithMargins="0">
    <oddFooter>&amp;L&amp;A&amp;R&amp;"Arial,Regular"&amp;8Page 9</oddFooter>
  </headerFooter>
  <drawing r:id="rId1"/>
</worksheet>
</file>

<file path=xl/worksheets/sheet12.xml><?xml version="1.0" encoding="utf-8"?>
<worksheet xmlns="http://schemas.openxmlformats.org/spreadsheetml/2006/main" xmlns:r="http://schemas.openxmlformats.org/officeDocument/2006/relationships">
  <sheetPr codeName="Sheet19"/>
  <dimension ref="C1:Q46"/>
  <sheetViews>
    <sheetView workbookViewId="0" topLeftCell="A1">
      <selection activeCell="A6" sqref="A6"/>
    </sheetView>
  </sheetViews>
  <sheetFormatPr defaultColWidth="9.33203125" defaultRowHeight="12.75"/>
  <cols>
    <col min="1" max="2" width="3.33203125" style="1" customWidth="1"/>
    <col min="3" max="3" width="40" style="1" customWidth="1"/>
    <col min="4" max="4" width="8.83203125" style="1" customWidth="1"/>
    <col min="5" max="5" width="2.33203125" style="1" customWidth="1"/>
    <col min="6" max="6" width="8.83203125" style="1" customWidth="1"/>
    <col min="7" max="7" width="2.33203125" style="1" customWidth="1"/>
    <col min="8" max="8" width="8.83203125" style="1" customWidth="1"/>
    <col min="9" max="9" width="2.33203125" style="1" customWidth="1"/>
    <col min="10" max="10" width="8.83203125" style="1" customWidth="1"/>
    <col min="11" max="11" width="2.33203125" style="1" customWidth="1"/>
    <col min="12" max="12" width="8.83203125" style="1" customWidth="1"/>
    <col min="13" max="13" width="2.33203125" style="1" customWidth="1"/>
    <col min="14" max="14" width="8.83203125" style="1" customWidth="1"/>
    <col min="15" max="15" width="2.33203125" style="1" customWidth="1"/>
    <col min="16" max="16" width="8.83203125" style="1" customWidth="1"/>
    <col min="17" max="17" width="2.33203125" style="1" customWidth="1"/>
    <col min="18" max="16384" width="9" style="1" customWidth="1"/>
  </cols>
  <sheetData>
    <row r="1" spans="3:17" ht="12.75">
      <c r="C1" s="619" t="s">
        <v>96</v>
      </c>
      <c r="D1" s="619"/>
      <c r="E1" s="619"/>
      <c r="F1" s="619"/>
      <c r="G1" s="619"/>
      <c r="H1" s="619"/>
      <c r="I1" s="619"/>
      <c r="J1" s="619"/>
      <c r="K1" s="619"/>
      <c r="L1" s="619"/>
      <c r="M1" s="619"/>
      <c r="N1" s="619"/>
      <c r="O1" s="619"/>
      <c r="P1" s="619"/>
      <c r="Q1" s="619"/>
    </row>
    <row r="2" spans="3:17" ht="12">
      <c r="C2" s="618" t="s">
        <v>82</v>
      </c>
      <c r="D2" s="618"/>
      <c r="E2" s="618"/>
      <c r="F2" s="618"/>
      <c r="G2" s="618"/>
      <c r="H2" s="618"/>
      <c r="I2" s="618"/>
      <c r="J2" s="618"/>
      <c r="K2" s="618"/>
      <c r="L2" s="618"/>
      <c r="M2" s="618"/>
      <c r="N2" s="618"/>
      <c r="O2" s="618"/>
      <c r="P2" s="618"/>
      <c r="Q2" s="618"/>
    </row>
    <row r="3" spans="3:17" ht="12">
      <c r="C3" s="617" t="s">
        <v>154</v>
      </c>
      <c r="D3" s="617"/>
      <c r="E3" s="617"/>
      <c r="F3" s="617"/>
      <c r="G3" s="617"/>
      <c r="H3" s="617"/>
      <c r="I3" s="617"/>
      <c r="J3" s="617"/>
      <c r="K3" s="617"/>
      <c r="L3" s="617"/>
      <c r="M3" s="617"/>
      <c r="N3" s="617"/>
      <c r="O3" s="617"/>
      <c r="P3" s="617"/>
      <c r="Q3" s="617"/>
    </row>
    <row r="4" spans="3:17" ht="12">
      <c r="C4" s="617" t="s">
        <v>170</v>
      </c>
      <c r="D4" s="617"/>
      <c r="E4" s="617"/>
      <c r="F4" s="617"/>
      <c r="G4" s="617"/>
      <c r="H4" s="617"/>
      <c r="I4" s="617"/>
      <c r="J4" s="617"/>
      <c r="K4" s="617"/>
      <c r="L4" s="617"/>
      <c r="M4" s="617"/>
      <c r="N4" s="617"/>
      <c r="O4" s="617"/>
      <c r="P4" s="617"/>
      <c r="Q4" s="617"/>
    </row>
    <row r="5" spans="3:17" ht="11.25">
      <c r="C5" s="539"/>
      <c r="D5" s="91"/>
      <c r="E5" s="91"/>
      <c r="F5" s="91"/>
      <c r="G5" s="91"/>
      <c r="H5" s="91"/>
      <c r="I5" s="91"/>
      <c r="J5" s="91"/>
      <c r="K5" s="91"/>
      <c r="L5" s="91"/>
      <c r="M5" s="91"/>
      <c r="N5" s="91"/>
      <c r="O5" s="91"/>
      <c r="P5" s="91"/>
      <c r="Q5" s="91"/>
    </row>
    <row r="6" spans="3:16" ht="12.75">
      <c r="C6" s="3" t="s">
        <v>88</v>
      </c>
      <c r="D6" s="3"/>
      <c r="E6" s="3"/>
      <c r="F6" s="3"/>
      <c r="G6" s="3"/>
      <c r="H6" s="3"/>
      <c r="I6" s="3"/>
      <c r="J6" s="3"/>
      <c r="K6" s="3"/>
      <c r="N6" s="440" t="s">
        <v>19</v>
      </c>
      <c r="P6" s="440" t="s">
        <v>19</v>
      </c>
    </row>
    <row r="7" spans="4:17" ht="11.25">
      <c r="D7" s="4" t="s">
        <v>432</v>
      </c>
      <c r="E7" s="4"/>
      <c r="F7" s="4" t="s">
        <v>408</v>
      </c>
      <c r="G7" s="4"/>
      <c r="H7" s="4" t="s">
        <v>404</v>
      </c>
      <c r="I7" s="4"/>
      <c r="J7" s="4" t="s">
        <v>356</v>
      </c>
      <c r="K7" s="81"/>
      <c r="L7" s="4" t="s">
        <v>2</v>
      </c>
      <c r="M7" s="4"/>
      <c r="N7" s="23">
        <v>2006</v>
      </c>
      <c r="O7" s="4"/>
      <c r="P7" s="23">
        <v>2005</v>
      </c>
      <c r="Q7" s="4"/>
    </row>
    <row r="8" spans="8:12" ht="13.5" customHeight="1">
      <c r="H8" s="170"/>
      <c r="J8" s="170"/>
      <c r="L8" s="170"/>
    </row>
    <row r="9" spans="3:17" ht="11.25" customHeight="1">
      <c r="C9" s="1" t="s">
        <v>131</v>
      </c>
      <c r="D9" s="39">
        <f>+'Segment  2006 Qtr'!G10</f>
        <v>1441</v>
      </c>
      <c r="F9" s="39">
        <v>1387</v>
      </c>
      <c r="G9" s="33"/>
      <c r="H9" s="33">
        <v>1485</v>
      </c>
      <c r="I9" s="33"/>
      <c r="J9" s="33">
        <v>1584</v>
      </c>
      <c r="K9" s="33"/>
      <c r="L9" s="33">
        <v>1388</v>
      </c>
      <c r="M9" s="33"/>
      <c r="N9" s="33">
        <f aca="true" t="shared" si="0" ref="N9:N14">+F9+D9+H9+J9</f>
        <v>5897</v>
      </c>
      <c r="O9" s="33"/>
      <c r="P9" s="33">
        <v>5775</v>
      </c>
      <c r="Q9" s="33"/>
    </row>
    <row r="10" spans="3:17" ht="11.25" customHeight="1">
      <c r="C10" s="1" t="s">
        <v>132</v>
      </c>
      <c r="D10" s="55">
        <f>+'Segment  2006 Qtr'!G11</f>
        <v>1059</v>
      </c>
      <c r="F10" s="55">
        <v>978</v>
      </c>
      <c r="G10" s="55"/>
      <c r="H10" s="55">
        <v>1083</v>
      </c>
      <c r="I10" s="55"/>
      <c r="J10" s="55">
        <v>1146</v>
      </c>
      <c r="K10" s="42"/>
      <c r="L10" s="55">
        <v>1014</v>
      </c>
      <c r="M10" s="42"/>
      <c r="N10" s="55">
        <f t="shared" si="0"/>
        <v>4266</v>
      </c>
      <c r="O10" s="42"/>
      <c r="P10" s="42">
        <v>4195</v>
      </c>
      <c r="Q10" s="42"/>
    </row>
    <row r="11" spans="3:17" ht="11.25" customHeight="1">
      <c r="C11" s="1" t="s">
        <v>133</v>
      </c>
      <c r="D11" s="55">
        <f>+'Segment  2006 Qtr'!G12</f>
        <v>1097</v>
      </c>
      <c r="F11" s="55">
        <v>1099</v>
      </c>
      <c r="G11" s="55"/>
      <c r="H11" s="55">
        <v>1086</v>
      </c>
      <c r="I11" s="55"/>
      <c r="J11" s="55">
        <v>1039</v>
      </c>
      <c r="K11" s="42"/>
      <c r="L11" s="55">
        <v>1048</v>
      </c>
      <c r="M11" s="42"/>
      <c r="N11" s="55">
        <f t="shared" si="0"/>
        <v>4321</v>
      </c>
      <c r="O11" s="42"/>
      <c r="P11" s="42">
        <v>4239</v>
      </c>
      <c r="Q11" s="42"/>
    </row>
    <row r="12" spans="3:17" ht="11.25" customHeight="1">
      <c r="C12" s="1" t="s">
        <v>126</v>
      </c>
      <c r="D12" s="55">
        <f>+'Segment  2006 Qtr'!G13</f>
        <v>576</v>
      </c>
      <c r="F12" s="55">
        <v>532</v>
      </c>
      <c r="G12" s="55"/>
      <c r="H12" s="55">
        <v>585</v>
      </c>
      <c r="I12" s="55"/>
      <c r="J12" s="55">
        <v>566</v>
      </c>
      <c r="K12" s="42"/>
      <c r="L12" s="55">
        <v>679</v>
      </c>
      <c r="M12" s="42"/>
      <c r="N12" s="55">
        <f t="shared" si="0"/>
        <v>2259</v>
      </c>
      <c r="O12" s="42"/>
      <c r="P12" s="42">
        <v>2583</v>
      </c>
      <c r="Q12" s="42"/>
    </row>
    <row r="13" spans="3:17" ht="11.25" customHeight="1">
      <c r="C13" s="1" t="s">
        <v>136</v>
      </c>
      <c r="D13" s="55">
        <f>+'Segment  2006 Qtr'!G15</f>
        <v>226</v>
      </c>
      <c r="F13" s="55">
        <v>217</v>
      </c>
      <c r="G13" s="55"/>
      <c r="H13" s="55">
        <v>219</v>
      </c>
      <c r="I13" s="55"/>
      <c r="J13" s="55">
        <v>194</v>
      </c>
      <c r="K13" s="42"/>
      <c r="L13" s="55">
        <v>224</v>
      </c>
      <c r="M13" s="42"/>
      <c r="N13" s="55">
        <f t="shared" si="0"/>
        <v>856</v>
      </c>
      <c r="O13" s="42"/>
      <c r="P13" s="42">
        <v>836</v>
      </c>
      <c r="Q13" s="42"/>
    </row>
    <row r="14" spans="3:17" ht="11.25" customHeight="1">
      <c r="C14" s="1" t="s">
        <v>134</v>
      </c>
      <c r="D14" s="55">
        <f>+'Segment  2006 Qtr'!G16</f>
        <v>157</v>
      </c>
      <c r="E14" s="55"/>
      <c r="F14" s="55">
        <v>155</v>
      </c>
      <c r="G14" s="55"/>
      <c r="H14" s="55">
        <v>152</v>
      </c>
      <c r="I14" s="55"/>
      <c r="J14" s="55">
        <v>145</v>
      </c>
      <c r="K14" s="87"/>
      <c r="L14" s="55">
        <v>137</v>
      </c>
      <c r="M14" s="87"/>
      <c r="N14" s="55">
        <f t="shared" si="0"/>
        <v>609</v>
      </c>
      <c r="O14" s="87"/>
      <c r="P14" s="42">
        <v>566</v>
      </c>
      <c r="Q14" s="87"/>
    </row>
    <row r="15" spans="3:17" ht="11.25" customHeight="1">
      <c r="C15" s="1" t="s">
        <v>60</v>
      </c>
      <c r="D15" s="451">
        <f>+D11-D12-D13-D14</f>
        <v>138</v>
      </c>
      <c r="E15" s="451"/>
      <c r="F15" s="451">
        <f>+F11-F12-F13-F14</f>
        <v>195</v>
      </c>
      <c r="G15" s="451"/>
      <c r="H15" s="451">
        <f>+H11-H12-H13-H14</f>
        <v>130</v>
      </c>
      <c r="I15" s="451"/>
      <c r="J15" s="451">
        <f>+J11-J12-J13-J14</f>
        <v>134</v>
      </c>
      <c r="K15" s="451"/>
      <c r="L15" s="451">
        <f>+L11-L12-L13-L14</f>
        <v>8</v>
      </c>
      <c r="M15" s="451"/>
      <c r="N15" s="451">
        <f>+N11-N12-N13-N14</f>
        <v>597</v>
      </c>
      <c r="O15" s="451"/>
      <c r="P15" s="264">
        <f>P11-P12-P13-P14</f>
        <v>254</v>
      </c>
      <c r="Q15" s="451"/>
    </row>
    <row r="16" spans="3:17" ht="7.5" customHeight="1">
      <c r="C16" s="25"/>
      <c r="D16" s="453"/>
      <c r="E16" s="25"/>
      <c r="F16" s="453"/>
      <c r="G16" s="453"/>
      <c r="H16" s="453"/>
      <c r="I16" s="453"/>
      <c r="J16" s="453"/>
      <c r="K16" s="453"/>
      <c r="L16" s="453"/>
      <c r="M16" s="453"/>
      <c r="N16" s="453"/>
      <c r="O16" s="453"/>
      <c r="P16" s="439"/>
      <c r="Q16" s="453"/>
    </row>
    <row r="17" spans="3:17" ht="11.25" customHeight="1">
      <c r="C17" s="1" t="s">
        <v>9</v>
      </c>
      <c r="D17" s="55">
        <f>+'Segment  2006 Qtr'!G19</f>
        <v>97</v>
      </c>
      <c r="F17" s="55">
        <v>97</v>
      </c>
      <c r="G17" s="55"/>
      <c r="H17" s="55">
        <v>91</v>
      </c>
      <c r="I17" s="55"/>
      <c r="J17" s="55">
        <v>85</v>
      </c>
      <c r="K17" s="454"/>
      <c r="L17" s="55">
        <v>83</v>
      </c>
      <c r="M17" s="454"/>
      <c r="N17" s="55">
        <f>+F17+D17+H17+J17</f>
        <v>370</v>
      </c>
      <c r="O17" s="454"/>
      <c r="P17" s="65">
        <v>319</v>
      </c>
      <c r="Q17" s="454"/>
    </row>
    <row r="18" spans="3:17" ht="11.25" customHeight="1">
      <c r="C18" s="177" t="s">
        <v>173</v>
      </c>
      <c r="D18" s="55">
        <f>+'Segment  2006 Qtr'!G20</f>
        <v>8</v>
      </c>
      <c r="E18" s="177"/>
      <c r="F18" s="55">
        <v>-32</v>
      </c>
      <c r="G18" s="55"/>
      <c r="H18" s="55">
        <v>4</v>
      </c>
      <c r="I18" s="55"/>
      <c r="J18" s="55">
        <v>4</v>
      </c>
      <c r="K18" s="55"/>
      <c r="L18" s="55">
        <v>-18</v>
      </c>
      <c r="M18" s="55"/>
      <c r="N18" s="55">
        <f>+F18+D18+H18+J18</f>
        <v>-16</v>
      </c>
      <c r="O18" s="454"/>
      <c r="P18" s="65">
        <v>51</v>
      </c>
      <c r="Q18" s="55"/>
    </row>
    <row r="19" spans="3:17" ht="11.25" customHeight="1">
      <c r="C19" s="1" t="s">
        <v>146</v>
      </c>
      <c r="D19" s="55">
        <f>+'Segment  2006 Qtr'!G21</f>
        <v>0</v>
      </c>
      <c r="F19" s="55">
        <v>0</v>
      </c>
      <c r="G19" s="55"/>
      <c r="H19" s="55">
        <v>0</v>
      </c>
      <c r="I19" s="55"/>
      <c r="J19" s="55">
        <v>0</v>
      </c>
      <c r="K19" s="55"/>
      <c r="L19" s="55">
        <v>0</v>
      </c>
      <c r="M19" s="55"/>
      <c r="N19" s="55">
        <f>+F19+D19+H19+J19</f>
        <v>0</v>
      </c>
      <c r="O19" s="454"/>
      <c r="P19" s="65">
        <v>0</v>
      </c>
      <c r="Q19" s="55"/>
    </row>
    <row r="20" spans="3:17" ht="11.25" customHeight="1">
      <c r="C20" s="1" t="s">
        <v>265</v>
      </c>
      <c r="D20" s="55">
        <f>+'Segment  2006 Qtr'!G22</f>
        <v>7</v>
      </c>
      <c r="F20" s="55">
        <v>-3</v>
      </c>
      <c r="G20" s="55"/>
      <c r="H20" s="55">
        <v>0</v>
      </c>
      <c r="I20" s="55"/>
      <c r="J20" s="55">
        <v>6</v>
      </c>
      <c r="K20" s="55"/>
      <c r="L20" s="55">
        <v>0</v>
      </c>
      <c r="M20" s="55"/>
      <c r="N20" s="55">
        <f>+F20+D20+H20+J20</f>
        <v>10</v>
      </c>
      <c r="O20" s="454"/>
      <c r="P20" s="65">
        <v>16</v>
      </c>
      <c r="Q20" s="55"/>
    </row>
    <row r="21" spans="3:17" ht="11.25" customHeight="1">
      <c r="C21" s="176" t="s">
        <v>158</v>
      </c>
      <c r="D21" s="256">
        <f>+'Segment  2006 Qtr'!G23</f>
        <v>43</v>
      </c>
      <c r="E21" s="256"/>
      <c r="F21" s="256">
        <v>63</v>
      </c>
      <c r="G21" s="256"/>
      <c r="H21" s="256">
        <v>44</v>
      </c>
      <c r="I21" s="256"/>
      <c r="J21" s="256">
        <v>56</v>
      </c>
      <c r="K21" s="256"/>
      <c r="L21" s="256">
        <v>-17</v>
      </c>
      <c r="M21" s="256"/>
      <c r="N21" s="256">
        <f>+F21+D21+H21+J21</f>
        <v>206</v>
      </c>
      <c r="O21" s="256"/>
      <c r="P21" s="234">
        <v>107</v>
      </c>
      <c r="Q21" s="256"/>
    </row>
    <row r="22" spans="3:17" ht="11.25" customHeight="1">
      <c r="C22" s="176" t="s">
        <v>7</v>
      </c>
      <c r="D22" s="452">
        <f>D15+D17-D20+D18+D19-D21</f>
        <v>193</v>
      </c>
      <c r="E22" s="452"/>
      <c r="F22" s="452">
        <f>F15+F17-F20+F18+F19-F21</f>
        <v>200</v>
      </c>
      <c r="G22" s="452"/>
      <c r="H22" s="452">
        <f>H15+H17-H20+H18+H19-H21</f>
        <v>181</v>
      </c>
      <c r="I22" s="452"/>
      <c r="J22" s="452">
        <f>J15+J17-J20+J18+J19-J21</f>
        <v>161</v>
      </c>
      <c r="K22" s="452"/>
      <c r="L22" s="452">
        <f>L15+L17-L20+L18+L19-L21</f>
        <v>90</v>
      </c>
      <c r="M22" s="452"/>
      <c r="N22" s="452">
        <f>N15+N17-N20+N18+N19-N21</f>
        <v>735</v>
      </c>
      <c r="O22" s="452"/>
      <c r="P22" s="349">
        <f>P15+P17-P20+P18-P19-P21</f>
        <v>501</v>
      </c>
      <c r="Q22" s="452"/>
    </row>
    <row r="23" spans="3:17" ht="7.5" customHeight="1">
      <c r="C23" s="193"/>
      <c r="D23" s="442"/>
      <c r="E23" s="193"/>
      <c r="F23" s="442"/>
      <c r="G23" s="442"/>
      <c r="H23" s="442"/>
      <c r="I23" s="442"/>
      <c r="J23" s="442"/>
      <c r="K23" s="442"/>
      <c r="L23" s="442"/>
      <c r="M23" s="442"/>
      <c r="N23" s="442"/>
      <c r="O23" s="442"/>
      <c r="P23" s="443"/>
      <c r="Q23" s="442"/>
    </row>
    <row r="24" spans="3:17" ht="11.25" customHeight="1">
      <c r="C24" s="177" t="s">
        <v>173</v>
      </c>
      <c r="D24" s="55">
        <f>+'Segment  2006 Qtr'!G26</f>
        <v>8</v>
      </c>
      <c r="E24" s="177"/>
      <c r="F24" s="55">
        <v>-32</v>
      </c>
      <c r="G24" s="55"/>
      <c r="H24" s="55">
        <v>4</v>
      </c>
      <c r="I24" s="55"/>
      <c r="J24" s="55">
        <v>4</v>
      </c>
      <c r="K24" s="55"/>
      <c r="L24" s="55">
        <v>-18</v>
      </c>
      <c r="M24" s="55"/>
      <c r="N24" s="55">
        <f>+F24+D24+H24+J24</f>
        <v>-16</v>
      </c>
      <c r="O24" s="454"/>
      <c r="P24" s="42">
        <v>51</v>
      </c>
      <c r="Q24" s="55"/>
    </row>
    <row r="25" spans="3:17" ht="11.25" customHeight="1">
      <c r="C25" s="177" t="s">
        <v>266</v>
      </c>
      <c r="D25" s="55">
        <f>+'Segment  2006 Qtr'!G27</f>
        <v>2</v>
      </c>
      <c r="E25" s="55"/>
      <c r="F25" s="55">
        <v>-6</v>
      </c>
      <c r="G25" s="55"/>
      <c r="H25" s="55">
        <v>5</v>
      </c>
      <c r="I25" s="55"/>
      <c r="J25" s="55">
        <v>2</v>
      </c>
      <c r="K25" s="55"/>
      <c r="L25" s="55">
        <v>-4</v>
      </c>
      <c r="M25" s="55"/>
      <c r="N25" s="55">
        <f>+F25+D25+H25+J25</f>
        <v>3</v>
      </c>
      <c r="O25" s="256"/>
      <c r="P25" s="42">
        <v>13</v>
      </c>
      <c r="Q25" s="55"/>
    </row>
    <row r="26" spans="3:17" ht="15.75" customHeight="1" thickBot="1">
      <c r="C26" s="205" t="s">
        <v>269</v>
      </c>
      <c r="D26" s="469">
        <f>+D22-D24+D25</f>
        <v>187</v>
      </c>
      <c r="E26" s="469"/>
      <c r="F26" s="469">
        <f>+F22-F24+F25</f>
        <v>226</v>
      </c>
      <c r="G26" s="397"/>
      <c r="H26" s="397">
        <f>+H22-H24+H25</f>
        <v>182</v>
      </c>
      <c r="I26" s="397"/>
      <c r="J26" s="397">
        <f>+J22-J24+J25</f>
        <v>159</v>
      </c>
      <c r="K26" s="397"/>
      <c r="L26" s="397">
        <f>+L22-L24+L25</f>
        <v>104</v>
      </c>
      <c r="M26" s="397"/>
      <c r="N26" s="397">
        <f>+N22-N24+N25</f>
        <v>754</v>
      </c>
      <c r="O26" s="397"/>
      <c r="P26" s="397">
        <f>P22-P24+P25</f>
        <v>463</v>
      </c>
      <c r="Q26" s="397"/>
    </row>
    <row r="27" spans="3:17" ht="12" thickTop="1">
      <c r="C27" s="176"/>
      <c r="D27" s="44"/>
      <c r="E27" s="44"/>
      <c r="F27" s="44"/>
      <c r="G27" s="44"/>
      <c r="H27" s="44"/>
      <c r="I27" s="44"/>
      <c r="J27" s="44"/>
      <c r="K27" s="44"/>
      <c r="L27" s="44"/>
      <c r="M27" s="44"/>
      <c r="N27" s="44"/>
      <c r="O27" s="44"/>
      <c r="P27" s="44"/>
      <c r="Q27" s="44"/>
    </row>
    <row r="28" spans="3:17" ht="11.25">
      <c r="C28" s="183" t="s">
        <v>135</v>
      </c>
      <c r="D28" s="382"/>
      <c r="E28" s="183"/>
      <c r="F28" s="382"/>
      <c r="G28" s="382"/>
      <c r="H28" s="382"/>
      <c r="I28" s="382"/>
      <c r="J28" s="382"/>
      <c r="K28" s="382"/>
      <c r="L28" s="382"/>
      <c r="M28" s="382"/>
      <c r="N28" s="44"/>
      <c r="O28" s="382"/>
      <c r="P28" s="44"/>
      <c r="Q28" s="382"/>
    </row>
    <row r="29" spans="3:17" ht="11.25">
      <c r="C29" s="1" t="s">
        <v>130</v>
      </c>
      <c r="D29" s="17">
        <f>'Segment  2006 Qtr'!G54</f>
        <v>0.525</v>
      </c>
      <c r="F29" s="17">
        <v>0.484</v>
      </c>
      <c r="G29" s="17"/>
      <c r="H29" s="17">
        <v>0.538</v>
      </c>
      <c r="I29" s="17"/>
      <c r="J29" s="17">
        <v>0.545</v>
      </c>
      <c r="K29" s="17"/>
      <c r="L29" s="17">
        <v>0.648</v>
      </c>
      <c r="M29" s="17"/>
      <c r="N29" s="17">
        <f>'Segment  2006 YTD'!G56</f>
        <v>0.523</v>
      </c>
      <c r="O29" s="17"/>
      <c r="P29" s="17">
        <v>0.609</v>
      </c>
      <c r="Q29" s="17"/>
    </row>
    <row r="30" spans="3:17" ht="11.25">
      <c r="C30" s="1" t="s">
        <v>137</v>
      </c>
      <c r="D30" s="17">
        <f>'Segment  2006 Qtr'!G55</f>
        <v>0.206</v>
      </c>
      <c r="F30" s="17">
        <v>0.198</v>
      </c>
      <c r="G30" s="17"/>
      <c r="H30" s="17">
        <v>0.201</v>
      </c>
      <c r="I30" s="17"/>
      <c r="J30" s="17">
        <v>0.187</v>
      </c>
      <c r="K30" s="17"/>
      <c r="L30" s="17">
        <v>0.213</v>
      </c>
      <c r="M30" s="17"/>
      <c r="N30" s="17">
        <f>'Segment  2006 YTD'!G57</f>
        <v>0.198</v>
      </c>
      <c r="O30" s="17"/>
      <c r="P30" s="17">
        <v>0.197</v>
      </c>
      <c r="Q30" s="17"/>
    </row>
    <row r="31" spans="3:17" ht="11.25">
      <c r="C31" s="1" t="s">
        <v>145</v>
      </c>
      <c r="D31" s="17">
        <f>'Segment  2006 Qtr'!G56</f>
        <v>0.143</v>
      </c>
      <c r="E31" s="17"/>
      <c r="F31" s="17">
        <v>0.14</v>
      </c>
      <c r="G31" s="17"/>
      <c r="H31" s="17">
        <v>0.141</v>
      </c>
      <c r="I31" s="17"/>
      <c r="J31" s="17">
        <v>0.139</v>
      </c>
      <c r="K31" s="19"/>
      <c r="L31" s="19">
        <v>0.132</v>
      </c>
      <c r="M31" s="19"/>
      <c r="N31" s="17">
        <f>'Segment  2006 YTD'!G58</f>
        <v>0.141</v>
      </c>
      <c r="O31" s="18"/>
      <c r="P31" s="18">
        <v>0.134</v>
      </c>
      <c r="Q31" s="18"/>
    </row>
    <row r="32" spans="3:17" ht="12" thickBot="1">
      <c r="C32" s="176" t="s">
        <v>59</v>
      </c>
      <c r="D32" s="184">
        <f>SUM(D29:D31)</f>
        <v>0.874</v>
      </c>
      <c r="E32" s="184"/>
      <c r="F32" s="184">
        <f>SUM(F29:F31)</f>
        <v>0.822</v>
      </c>
      <c r="G32" s="184"/>
      <c r="H32" s="184">
        <f>SUM(H29:H31)</f>
        <v>0.8800000000000001</v>
      </c>
      <c r="I32" s="184"/>
      <c r="J32" s="184">
        <f>SUM(J29:J31)</f>
        <v>0.871</v>
      </c>
      <c r="K32" s="184"/>
      <c r="L32" s="184">
        <f>SUM(L29:L31)</f>
        <v>0.993</v>
      </c>
      <c r="M32" s="184"/>
      <c r="N32" s="184">
        <f>SUM(N29:N31)</f>
        <v>0.8620000000000001</v>
      </c>
      <c r="O32" s="184"/>
      <c r="P32" s="184">
        <f>SUM(P29:P31)</f>
        <v>0.9400000000000001</v>
      </c>
      <c r="Q32" s="184"/>
    </row>
    <row r="33" spans="3:17" ht="12" thickTop="1">
      <c r="C33" s="176"/>
      <c r="D33" s="176"/>
      <c r="E33" s="176"/>
      <c r="F33" s="176"/>
      <c r="G33" s="176"/>
      <c r="H33" s="176"/>
      <c r="I33" s="176"/>
      <c r="J33" s="176"/>
      <c r="K33" s="208"/>
      <c r="L33" s="176"/>
      <c r="M33" s="176"/>
      <c r="N33" s="176"/>
      <c r="O33" s="176"/>
      <c r="P33" s="176"/>
      <c r="Q33" s="176"/>
    </row>
    <row r="34" spans="3:17" ht="11.25">
      <c r="C34" s="35"/>
      <c r="D34" s="39"/>
      <c r="E34" s="35"/>
      <c r="F34" s="39"/>
      <c r="G34" s="35"/>
      <c r="H34" s="39"/>
      <c r="I34" s="39"/>
      <c r="J34" s="39"/>
      <c r="K34" s="32"/>
      <c r="L34" s="39"/>
      <c r="M34" s="32"/>
      <c r="N34" s="32"/>
      <c r="O34" s="32"/>
      <c r="P34" s="32"/>
      <c r="Q34" s="32"/>
    </row>
    <row r="35" spans="3:16" ht="11.25">
      <c r="C35" s="15" t="s">
        <v>248</v>
      </c>
      <c r="E35" s="15"/>
      <c r="G35" s="15"/>
      <c r="N35" s="44"/>
      <c r="P35" s="44"/>
    </row>
    <row r="36" spans="3:17" ht="11.25">
      <c r="C36" s="1" t="s">
        <v>327</v>
      </c>
      <c r="D36" s="543">
        <v>0</v>
      </c>
      <c r="E36" s="44"/>
      <c r="F36" s="39">
        <v>3</v>
      </c>
      <c r="G36" s="44"/>
      <c r="H36" s="39">
        <v>0</v>
      </c>
      <c r="I36" s="39"/>
      <c r="J36" s="39">
        <v>0</v>
      </c>
      <c r="K36" s="39"/>
      <c r="L36" s="39">
        <v>80</v>
      </c>
      <c r="M36" s="39"/>
      <c r="N36" s="543">
        <f>+D36+F36+H36+J36</f>
        <v>3</v>
      </c>
      <c r="O36" s="39"/>
      <c r="P36" s="39">
        <v>201</v>
      </c>
      <c r="Q36" s="39"/>
    </row>
    <row r="37" spans="3:17" ht="11.25">
      <c r="C37" s="1" t="s">
        <v>346</v>
      </c>
      <c r="D37" s="543">
        <v>4</v>
      </c>
      <c r="E37" s="44"/>
      <c r="F37" s="39">
        <v>-16</v>
      </c>
      <c r="G37" s="44"/>
      <c r="H37" s="39">
        <v>-21</v>
      </c>
      <c r="I37" s="39"/>
      <c r="J37" s="39">
        <v>-39</v>
      </c>
      <c r="K37" s="39"/>
      <c r="L37" s="39">
        <v>9</v>
      </c>
      <c r="M37" s="39"/>
      <c r="N37" s="543">
        <f>+D37+F37+H37+J37</f>
        <v>-72</v>
      </c>
      <c r="O37" s="39"/>
      <c r="P37" s="39">
        <v>5</v>
      </c>
      <c r="Q37" s="39"/>
    </row>
    <row r="38" spans="3:17" ht="11.25">
      <c r="C38" s="176"/>
      <c r="D38" s="44"/>
      <c r="E38" s="176"/>
      <c r="F38" s="44"/>
      <c r="G38" s="176"/>
      <c r="H38" s="44"/>
      <c r="I38" s="44"/>
      <c r="J38" s="44"/>
      <c r="K38" s="44"/>
      <c r="L38" s="44"/>
      <c r="M38" s="44"/>
      <c r="N38" s="44"/>
      <c r="O38" s="44"/>
      <c r="P38" s="44"/>
      <c r="Q38" s="44"/>
    </row>
    <row r="39" spans="3:17" ht="11.25">
      <c r="C39" s="15" t="s">
        <v>15</v>
      </c>
      <c r="D39" s="44"/>
      <c r="E39" s="15"/>
      <c r="F39" s="44"/>
      <c r="G39" s="15"/>
      <c r="H39" s="44"/>
      <c r="I39" s="44"/>
      <c r="J39" s="44"/>
      <c r="K39" s="44"/>
      <c r="L39" s="44"/>
      <c r="M39" s="44"/>
      <c r="N39" s="44"/>
      <c r="O39" s="44"/>
      <c r="P39" s="44"/>
      <c r="Q39" s="44"/>
    </row>
    <row r="40" spans="3:17" ht="11.25" customHeight="1">
      <c r="C40" s="1" t="s">
        <v>132</v>
      </c>
      <c r="D40" s="129">
        <f>(D10/L10)-1</f>
        <v>0.044378698224851965</v>
      </c>
      <c r="F40" s="129">
        <v>0.05</v>
      </c>
      <c r="H40" s="129">
        <v>0.02</v>
      </c>
      <c r="I40" s="129"/>
      <c r="J40" s="129">
        <v>-0.04</v>
      </c>
      <c r="K40" s="129"/>
      <c r="L40" s="129">
        <v>-0.06</v>
      </c>
      <c r="M40" s="129"/>
      <c r="N40" s="129">
        <f>(+N10/P10)-1</f>
        <v>0.016924910607866606</v>
      </c>
      <c r="O40" s="129"/>
      <c r="P40" s="129">
        <f>+(4195-4335)/4335</f>
        <v>-0.03229527104959631</v>
      </c>
      <c r="Q40" s="129"/>
    </row>
    <row r="41" spans="3:17" ht="11.25" customHeight="1">
      <c r="C41" s="1" t="s">
        <v>20</v>
      </c>
      <c r="D41" s="129">
        <f>(D11/L11)-1</f>
        <v>0.0467557251908397</v>
      </c>
      <c r="F41" s="129">
        <v>0.07</v>
      </c>
      <c r="H41" s="129">
        <v>0.01</v>
      </c>
      <c r="I41" s="129"/>
      <c r="J41" s="129">
        <v>-0.04</v>
      </c>
      <c r="K41" s="129"/>
      <c r="L41" s="129">
        <v>-0.07</v>
      </c>
      <c r="M41" s="129"/>
      <c r="N41" s="129">
        <f>(+N11/P11)-1</f>
        <v>0.019344184949280585</v>
      </c>
      <c r="O41" s="129"/>
      <c r="P41" s="129">
        <f>+(4239-4296)/4296</f>
        <v>-0.013268156424581005</v>
      </c>
      <c r="Q41" s="129"/>
    </row>
    <row r="42" spans="4:17" ht="8.25" customHeight="1">
      <c r="D42" s="129"/>
      <c r="F42" s="129"/>
      <c r="H42" s="129"/>
      <c r="I42" s="129"/>
      <c r="J42" s="129"/>
      <c r="K42" s="129"/>
      <c r="L42" s="129"/>
      <c r="M42" s="129"/>
      <c r="N42" s="129"/>
      <c r="O42" s="129"/>
      <c r="P42" s="129"/>
      <c r="Q42" s="129"/>
    </row>
    <row r="43" spans="3:17" ht="11.25">
      <c r="C43" s="15" t="s">
        <v>16</v>
      </c>
      <c r="D43" s="44"/>
      <c r="E43" s="15"/>
      <c r="F43" s="44"/>
      <c r="G43" s="15"/>
      <c r="H43" s="44"/>
      <c r="I43" s="44"/>
      <c r="J43" s="44"/>
      <c r="K43" s="44"/>
      <c r="L43" s="44"/>
      <c r="M43" s="44"/>
      <c r="N43" s="44"/>
      <c r="O43" s="44"/>
      <c r="P43" s="44"/>
      <c r="Q43" s="44"/>
    </row>
    <row r="44" spans="3:17" ht="11.25" customHeight="1">
      <c r="C44" s="1" t="s">
        <v>58</v>
      </c>
      <c r="D44" s="246">
        <f>D10/D9</f>
        <v>0.7349063150589868</v>
      </c>
      <c r="F44" s="246">
        <f>F10/F9</f>
        <v>0.7051189617880317</v>
      </c>
      <c r="H44" s="246">
        <f>H10/H9</f>
        <v>0.7292929292929293</v>
      </c>
      <c r="I44" s="246"/>
      <c r="J44" s="246">
        <f>J10/J9</f>
        <v>0.7234848484848485</v>
      </c>
      <c r="K44" s="246"/>
      <c r="L44" s="246">
        <f>L10/L9</f>
        <v>0.7305475504322767</v>
      </c>
      <c r="M44" s="246"/>
      <c r="N44" s="246">
        <f>N10/N9</f>
        <v>0.7234186874682041</v>
      </c>
      <c r="O44" s="246"/>
      <c r="P44" s="246">
        <f>P10/P9</f>
        <v>0.7264069264069264</v>
      </c>
      <c r="Q44" s="246"/>
    </row>
    <row r="46" spans="3:11" ht="11.25">
      <c r="C46" s="571" t="str">
        <f>+'Financial Highlights'!C48</f>
        <v>(1) See page 25 Non-GAAP Financial Measures.</v>
      </c>
      <c r="D46" s="572"/>
      <c r="E46" s="37"/>
      <c r="F46" s="37"/>
      <c r="G46" s="37"/>
      <c r="H46" s="59"/>
      <c r="I46" s="59"/>
      <c r="J46" s="59"/>
      <c r="K46" s="59"/>
    </row>
  </sheetData>
  <sheetProtection objects="1"/>
  <mergeCells count="4">
    <mergeCell ref="C1:Q1"/>
    <mergeCell ref="C2:Q2"/>
    <mergeCell ref="C3:Q3"/>
    <mergeCell ref="C4:Q4"/>
  </mergeCells>
  <hyperlinks>
    <hyperlink ref="C46" location="'Reconciliation Non-GAAP'!A1" display="'Reconciliation Non-GAAP'!A1"/>
  </hyperlinks>
  <printOptions/>
  <pageMargins left="0.5" right="0.5" top="0.5" bottom="0.5" header="0.75" footer="0.25"/>
  <pageSetup horizontalDpi="600" verticalDpi="600" orientation="landscape" r:id="rId2"/>
  <headerFooter alignWithMargins="0">
    <oddFooter>&amp;L&amp;A&amp;R&amp;"Arial,Regular"&amp;8Page 10</oddFooter>
  </headerFooter>
  <drawing r:id="rId1"/>
</worksheet>
</file>

<file path=xl/worksheets/sheet13.xml><?xml version="1.0" encoding="utf-8"?>
<worksheet xmlns="http://schemas.openxmlformats.org/spreadsheetml/2006/main" xmlns:r="http://schemas.openxmlformats.org/officeDocument/2006/relationships">
  <sheetPr codeName="Sheet20"/>
  <dimension ref="C1:U40"/>
  <sheetViews>
    <sheetView workbookViewId="0" topLeftCell="A1">
      <selection activeCell="A5" sqref="A5"/>
    </sheetView>
  </sheetViews>
  <sheetFormatPr defaultColWidth="9.33203125" defaultRowHeight="12.75"/>
  <cols>
    <col min="1" max="2" width="3.33203125" style="1" customWidth="1"/>
    <col min="3" max="3" width="43" style="1" customWidth="1"/>
    <col min="4" max="4" width="8.83203125" style="1" customWidth="1"/>
    <col min="5" max="5" width="2.33203125" style="1" customWidth="1"/>
    <col min="6" max="6" width="8.83203125" style="1" customWidth="1"/>
    <col min="7" max="7" width="2.33203125" style="1" customWidth="1"/>
    <col min="8" max="8" width="8.83203125" style="1" customWidth="1"/>
    <col min="9" max="9" width="2.33203125" style="1" customWidth="1"/>
    <col min="10" max="10" width="8.83203125" style="1" customWidth="1"/>
    <col min="11" max="11" width="2.33203125" style="1" customWidth="1"/>
    <col min="12" max="12" width="8.83203125" style="1" customWidth="1"/>
    <col min="13" max="13" width="2.33203125" style="1" customWidth="1"/>
    <col min="14" max="14" width="8.83203125" style="1" customWidth="1"/>
    <col min="15" max="15" width="2.33203125" style="1" customWidth="1"/>
    <col min="16" max="16" width="8.83203125" style="1" customWidth="1"/>
    <col min="17" max="17" width="2.33203125" style="7" customWidth="1"/>
    <col min="18" max="21" width="8.83203125" style="1" customWidth="1"/>
    <col min="22" max="16384" width="9" style="1" customWidth="1"/>
  </cols>
  <sheetData>
    <row r="1" spans="3:21" ht="12.75">
      <c r="C1" s="619" t="s">
        <v>96</v>
      </c>
      <c r="D1" s="619"/>
      <c r="E1" s="619"/>
      <c r="F1" s="619"/>
      <c r="G1" s="619"/>
      <c r="H1" s="619"/>
      <c r="I1" s="619"/>
      <c r="J1" s="619"/>
      <c r="K1" s="619"/>
      <c r="L1" s="619"/>
      <c r="M1" s="619"/>
      <c r="N1" s="619"/>
      <c r="O1" s="619"/>
      <c r="P1" s="619"/>
      <c r="Q1" s="619"/>
      <c r="R1" s="619"/>
      <c r="S1" s="20"/>
      <c r="T1" s="20"/>
      <c r="U1" s="20"/>
    </row>
    <row r="2" spans="3:21" ht="12">
      <c r="C2" s="618" t="s">
        <v>82</v>
      </c>
      <c r="D2" s="618"/>
      <c r="E2" s="618"/>
      <c r="F2" s="618"/>
      <c r="G2" s="618"/>
      <c r="H2" s="618"/>
      <c r="I2" s="618"/>
      <c r="J2" s="618"/>
      <c r="K2" s="618"/>
      <c r="L2" s="618"/>
      <c r="M2" s="618"/>
      <c r="N2" s="618"/>
      <c r="O2" s="618"/>
      <c r="P2" s="618"/>
      <c r="Q2" s="618"/>
      <c r="R2" s="618"/>
      <c r="S2" s="2"/>
      <c r="T2" s="2"/>
      <c r="U2" s="2"/>
    </row>
    <row r="3" spans="3:21" ht="12">
      <c r="C3" s="617" t="s">
        <v>154</v>
      </c>
      <c r="D3" s="617"/>
      <c r="E3" s="617"/>
      <c r="F3" s="617"/>
      <c r="G3" s="617"/>
      <c r="H3" s="617"/>
      <c r="I3" s="617"/>
      <c r="J3" s="617"/>
      <c r="K3" s="617"/>
      <c r="L3" s="617"/>
      <c r="M3" s="617"/>
      <c r="N3" s="617"/>
      <c r="O3" s="617"/>
      <c r="P3" s="617"/>
      <c r="Q3" s="617"/>
      <c r="R3" s="617"/>
      <c r="S3" s="21"/>
      <c r="T3" s="21"/>
      <c r="U3" s="21"/>
    </row>
    <row r="4" spans="3:21" ht="12">
      <c r="C4" s="617" t="s">
        <v>170</v>
      </c>
      <c r="D4" s="617"/>
      <c r="E4" s="617"/>
      <c r="F4" s="617"/>
      <c r="G4" s="617"/>
      <c r="H4" s="617"/>
      <c r="I4" s="617"/>
      <c r="J4" s="617"/>
      <c r="K4" s="617"/>
      <c r="L4" s="617"/>
      <c r="M4" s="617"/>
      <c r="N4" s="617"/>
      <c r="O4" s="617"/>
      <c r="P4" s="617"/>
      <c r="Q4" s="617"/>
      <c r="R4" s="617"/>
      <c r="S4" s="21"/>
      <c r="T4" s="21"/>
      <c r="U4" s="21"/>
    </row>
    <row r="5" ht="11.25">
      <c r="C5" s="539"/>
    </row>
    <row r="6" spans="3:21" ht="12.75">
      <c r="C6" s="187" t="s">
        <v>123</v>
      </c>
      <c r="D6" s="187"/>
      <c r="E6" s="187"/>
      <c r="F6" s="187"/>
      <c r="G6" s="187"/>
      <c r="H6" s="3"/>
      <c r="I6" s="3"/>
      <c r="J6" s="3"/>
      <c r="K6" s="3"/>
      <c r="N6" s="440" t="s">
        <v>19</v>
      </c>
      <c r="P6" s="440" t="s">
        <v>19</v>
      </c>
      <c r="R6" s="456"/>
      <c r="S6" s="456"/>
      <c r="T6" s="456"/>
      <c r="U6" s="456"/>
    </row>
    <row r="7" spans="4:21" ht="11.25">
      <c r="D7" s="4" t="s">
        <v>432</v>
      </c>
      <c r="E7" s="81"/>
      <c r="F7" s="4" t="s">
        <v>408</v>
      </c>
      <c r="G7" s="4"/>
      <c r="H7" s="4" t="s">
        <v>404</v>
      </c>
      <c r="I7" s="4"/>
      <c r="J7" s="4" t="s">
        <v>356</v>
      </c>
      <c r="K7" s="81"/>
      <c r="L7" s="4" t="s">
        <v>2</v>
      </c>
      <c r="M7" s="4"/>
      <c r="N7" s="23">
        <v>2006</v>
      </c>
      <c r="O7" s="4"/>
      <c r="P7" s="23">
        <v>2005</v>
      </c>
      <c r="Q7" s="5"/>
      <c r="R7" s="30"/>
      <c r="S7" s="30"/>
      <c r="T7" s="30"/>
      <c r="U7" s="30"/>
    </row>
    <row r="8" spans="3:21" ht="13.5" customHeight="1">
      <c r="C8" s="15"/>
      <c r="F8" s="2"/>
      <c r="H8" s="2"/>
      <c r="J8" s="2"/>
      <c r="L8" s="2"/>
      <c r="N8" s="2"/>
      <c r="P8" s="2"/>
      <c r="R8" s="124"/>
      <c r="S8" s="124"/>
      <c r="T8" s="124"/>
      <c r="U8" s="124"/>
    </row>
    <row r="9" spans="3:21" ht="11.25" customHeight="1">
      <c r="C9" s="1" t="s">
        <v>131</v>
      </c>
      <c r="D9" s="39">
        <f>+'Segment  2006 Qtr'!I10</f>
        <v>255</v>
      </c>
      <c r="F9" s="39">
        <v>291</v>
      </c>
      <c r="G9" s="33"/>
      <c r="H9" s="33">
        <v>417</v>
      </c>
      <c r="I9" s="33"/>
      <c r="J9" s="33">
        <v>604</v>
      </c>
      <c r="K9" s="33"/>
      <c r="L9" s="33">
        <v>283</v>
      </c>
      <c r="M9" s="33"/>
      <c r="N9" s="33">
        <f aca="true" t="shared" si="0" ref="N9:N14">+F9+D9+H9+J9</f>
        <v>1567</v>
      </c>
      <c r="O9" s="33"/>
      <c r="P9" s="33">
        <v>1599</v>
      </c>
      <c r="Q9" s="34"/>
      <c r="R9" s="34"/>
      <c r="S9" s="34"/>
      <c r="T9" s="34"/>
      <c r="U9" s="34"/>
    </row>
    <row r="10" spans="3:21" ht="11.25" customHeight="1">
      <c r="C10" s="1" t="s">
        <v>132</v>
      </c>
      <c r="D10" s="55">
        <f>+'Segment  2006 Qtr'!I11</f>
        <v>251</v>
      </c>
      <c r="F10" s="55">
        <v>284</v>
      </c>
      <c r="G10" s="55"/>
      <c r="H10" s="55">
        <v>415</v>
      </c>
      <c r="I10" s="55"/>
      <c r="J10" s="55">
        <v>600</v>
      </c>
      <c r="K10" s="55"/>
      <c r="L10" s="55">
        <v>276</v>
      </c>
      <c r="M10" s="55"/>
      <c r="N10" s="65">
        <f t="shared" si="0"/>
        <v>1550</v>
      </c>
      <c r="O10" s="55"/>
      <c r="P10" s="65">
        <v>1546</v>
      </c>
      <c r="Q10" s="55"/>
      <c r="R10" s="40"/>
      <c r="S10" s="34"/>
      <c r="T10" s="40"/>
      <c r="U10" s="40"/>
    </row>
    <row r="11" spans="3:21" ht="11.25" customHeight="1">
      <c r="C11" s="1" t="s">
        <v>133</v>
      </c>
      <c r="D11" s="55">
        <f>+'Segment  2006 Qtr'!I12</f>
        <v>380</v>
      </c>
      <c r="F11" s="55">
        <v>373</v>
      </c>
      <c r="G11" s="55"/>
      <c r="H11" s="55">
        <v>387</v>
      </c>
      <c r="I11" s="55"/>
      <c r="J11" s="55">
        <v>371</v>
      </c>
      <c r="K11" s="55"/>
      <c r="L11" s="55">
        <v>395</v>
      </c>
      <c r="M11" s="55"/>
      <c r="N11" s="65">
        <f t="shared" si="0"/>
        <v>1511</v>
      </c>
      <c r="O11" s="55"/>
      <c r="P11" s="65">
        <v>1531</v>
      </c>
      <c r="Q11" s="55"/>
      <c r="R11" s="40"/>
      <c r="S11" s="34"/>
      <c r="T11" s="40"/>
      <c r="U11" s="40"/>
    </row>
    <row r="12" spans="3:21" ht="11.25" customHeight="1">
      <c r="C12" s="1" t="s">
        <v>126</v>
      </c>
      <c r="D12" s="55">
        <f>+'Segment  2006 Qtr'!I13</f>
        <v>194</v>
      </c>
      <c r="F12" s="55">
        <v>196</v>
      </c>
      <c r="G12" s="55"/>
      <c r="H12" s="55">
        <v>197</v>
      </c>
      <c r="I12" s="55"/>
      <c r="J12" s="55">
        <v>197</v>
      </c>
      <c r="K12" s="55"/>
      <c r="L12" s="55">
        <v>354</v>
      </c>
      <c r="M12" s="55"/>
      <c r="N12" s="65">
        <f t="shared" si="0"/>
        <v>784</v>
      </c>
      <c r="O12" s="55"/>
      <c r="P12" s="65">
        <v>1402</v>
      </c>
      <c r="Q12" s="55"/>
      <c r="R12" s="40"/>
      <c r="S12" s="34"/>
      <c r="T12" s="40"/>
      <c r="U12" s="40"/>
    </row>
    <row r="13" spans="3:21" ht="11.25" customHeight="1">
      <c r="C13" s="1" t="s">
        <v>136</v>
      </c>
      <c r="D13" s="55">
        <f>+'Segment  2006 Qtr'!I15</f>
        <v>76</v>
      </c>
      <c r="F13" s="55">
        <v>71</v>
      </c>
      <c r="G13" s="55"/>
      <c r="H13" s="55">
        <v>82</v>
      </c>
      <c r="I13" s="55"/>
      <c r="J13" s="55">
        <v>74</v>
      </c>
      <c r="K13" s="55"/>
      <c r="L13" s="55">
        <v>77</v>
      </c>
      <c r="M13" s="55"/>
      <c r="N13" s="65">
        <f t="shared" si="0"/>
        <v>303</v>
      </c>
      <c r="O13" s="55"/>
      <c r="P13" s="65">
        <v>300</v>
      </c>
      <c r="Q13" s="55"/>
      <c r="R13" s="40"/>
      <c r="S13" s="34"/>
      <c r="T13" s="40"/>
      <c r="U13" s="40"/>
    </row>
    <row r="14" spans="3:21" ht="11.25" customHeight="1">
      <c r="C14" s="1" t="s">
        <v>134</v>
      </c>
      <c r="D14" s="55">
        <f>+'Segment  2006 Qtr'!I16</f>
        <v>14</v>
      </c>
      <c r="E14" s="81"/>
      <c r="F14" s="55">
        <v>16</v>
      </c>
      <c r="G14" s="55"/>
      <c r="H14" s="55">
        <v>18</v>
      </c>
      <c r="I14" s="55"/>
      <c r="J14" s="55">
        <v>14</v>
      </c>
      <c r="K14" s="55"/>
      <c r="L14" s="55">
        <v>13</v>
      </c>
      <c r="M14" s="55"/>
      <c r="N14" s="65">
        <f t="shared" si="0"/>
        <v>62</v>
      </c>
      <c r="O14" s="55"/>
      <c r="P14" s="65">
        <v>60</v>
      </c>
      <c r="Q14" s="55"/>
      <c r="R14" s="40"/>
      <c r="S14" s="34"/>
      <c r="T14" s="40"/>
      <c r="U14" s="40"/>
    </row>
    <row r="15" spans="3:21" ht="11.25" customHeight="1">
      <c r="C15" s="1" t="s">
        <v>63</v>
      </c>
      <c r="D15" s="466">
        <f>+D11-D12-D13-D14</f>
        <v>96</v>
      </c>
      <c r="F15" s="466">
        <f>+F11-F12-F13-F14</f>
        <v>90</v>
      </c>
      <c r="G15" s="264"/>
      <c r="H15" s="264">
        <f>+H11-H12-H13-H14</f>
        <v>90</v>
      </c>
      <c r="I15" s="264"/>
      <c r="J15" s="264">
        <f>+J11-J12-J13-J14</f>
        <v>86</v>
      </c>
      <c r="K15" s="264"/>
      <c r="L15" s="264">
        <f>+L11-L12-L13-L14</f>
        <v>-49</v>
      </c>
      <c r="M15" s="264"/>
      <c r="N15" s="264">
        <f>+N11-N12-N13-N14</f>
        <v>362</v>
      </c>
      <c r="O15" s="264"/>
      <c r="P15" s="264">
        <f>+P11-P12-P13-P14</f>
        <v>-231</v>
      </c>
      <c r="Q15" s="349"/>
      <c r="R15" s="349"/>
      <c r="S15" s="34"/>
      <c r="T15" s="349"/>
      <c r="U15" s="349"/>
    </row>
    <row r="16" spans="4:21" ht="4.5" customHeight="1">
      <c r="D16" s="444"/>
      <c r="F16" s="444"/>
      <c r="G16" s="379"/>
      <c r="H16" s="379"/>
      <c r="I16" s="379"/>
      <c r="J16" s="379"/>
      <c r="K16" s="379"/>
      <c r="L16" s="379"/>
      <c r="M16" s="379"/>
      <c r="N16" s="40"/>
      <c r="O16" s="379"/>
      <c r="P16" s="40"/>
      <c r="Q16" s="379"/>
      <c r="R16" s="40"/>
      <c r="S16" s="34"/>
      <c r="T16" s="40"/>
      <c r="U16" s="40"/>
    </row>
    <row r="17" spans="3:21" ht="11.25">
      <c r="C17" s="1" t="s">
        <v>128</v>
      </c>
      <c r="D17" s="55">
        <f>+'Segment  2006 Qtr'!I19</f>
        <v>62</v>
      </c>
      <c r="F17" s="55">
        <v>56</v>
      </c>
      <c r="G17" s="55"/>
      <c r="H17" s="55">
        <v>55</v>
      </c>
      <c r="I17" s="55"/>
      <c r="J17" s="55">
        <v>48</v>
      </c>
      <c r="K17" s="55"/>
      <c r="L17" s="55">
        <v>49</v>
      </c>
      <c r="M17" s="55"/>
      <c r="N17" s="65">
        <f>+F17+D17+H17+J17</f>
        <v>221</v>
      </c>
      <c r="O17" s="55"/>
      <c r="P17" s="55">
        <v>173</v>
      </c>
      <c r="Q17" s="55"/>
      <c r="R17" s="40"/>
      <c r="S17" s="34"/>
      <c r="T17" s="40"/>
      <c r="U17" s="40"/>
    </row>
    <row r="18" spans="3:21" ht="11.25">
      <c r="C18" s="177" t="s">
        <v>173</v>
      </c>
      <c r="D18" s="55">
        <f>+'Segment  2006 Qtr'!I20</f>
        <v>17</v>
      </c>
      <c r="E18" s="177"/>
      <c r="F18" s="55">
        <v>2</v>
      </c>
      <c r="G18" s="55"/>
      <c r="H18" s="55">
        <v>-3</v>
      </c>
      <c r="I18" s="55"/>
      <c r="J18" s="55">
        <v>-6</v>
      </c>
      <c r="K18" s="55"/>
      <c r="L18" s="55">
        <v>-11</v>
      </c>
      <c r="M18" s="55"/>
      <c r="N18" s="65">
        <f>+F18+D18+H18+J18</f>
        <v>10</v>
      </c>
      <c r="O18" s="55"/>
      <c r="P18" s="55">
        <v>-4</v>
      </c>
      <c r="Q18" s="55"/>
      <c r="R18" s="40"/>
      <c r="S18" s="34"/>
      <c r="T18" s="40"/>
      <c r="U18" s="40"/>
    </row>
    <row r="19" spans="3:21" ht="11.25">
      <c r="C19" s="1" t="s">
        <v>146</v>
      </c>
      <c r="D19" s="55">
        <f>+'Segment  2006 Qtr'!I21</f>
        <v>0</v>
      </c>
      <c r="F19" s="55">
        <v>0</v>
      </c>
      <c r="G19" s="55"/>
      <c r="H19" s="55">
        <v>0</v>
      </c>
      <c r="I19" s="55"/>
      <c r="J19" s="55">
        <v>0</v>
      </c>
      <c r="K19" s="55"/>
      <c r="L19" s="55">
        <v>1</v>
      </c>
      <c r="M19" s="55"/>
      <c r="N19" s="65">
        <f>+F19+D19+H19+J19</f>
        <v>0</v>
      </c>
      <c r="O19" s="55"/>
      <c r="P19" s="55">
        <v>3</v>
      </c>
      <c r="Q19" s="55"/>
      <c r="R19" s="55"/>
      <c r="S19" s="34"/>
      <c r="T19" s="55"/>
      <c r="U19" s="55"/>
    </row>
    <row r="20" spans="3:21" ht="11.25">
      <c r="C20" s="1" t="s">
        <v>265</v>
      </c>
      <c r="D20" s="55">
        <f>+'Segment  2006 Qtr'!I22</f>
        <v>2</v>
      </c>
      <c r="F20" s="55">
        <v>1</v>
      </c>
      <c r="G20" s="55"/>
      <c r="H20" s="55">
        <v>2</v>
      </c>
      <c r="I20" s="55"/>
      <c r="J20" s="55">
        <v>3</v>
      </c>
      <c r="K20" s="55"/>
      <c r="L20" s="55">
        <v>3</v>
      </c>
      <c r="M20" s="55"/>
      <c r="N20" s="65">
        <f>+F20+D20+H20+J20</f>
        <v>8</v>
      </c>
      <c r="O20" s="55"/>
      <c r="P20" s="55">
        <v>11</v>
      </c>
      <c r="Q20" s="55"/>
      <c r="R20" s="40"/>
      <c r="S20" s="34"/>
      <c r="T20" s="40"/>
      <c r="U20" s="40"/>
    </row>
    <row r="21" spans="3:21" ht="11.25">
      <c r="C21" s="176" t="s">
        <v>158</v>
      </c>
      <c r="D21" s="256">
        <f>+'Segment  2006 Qtr'!I23</f>
        <v>9</v>
      </c>
      <c r="E21" s="484"/>
      <c r="F21" s="256">
        <v>9</v>
      </c>
      <c r="G21" s="256"/>
      <c r="H21" s="256">
        <v>8</v>
      </c>
      <c r="I21" s="256"/>
      <c r="J21" s="256">
        <v>12</v>
      </c>
      <c r="K21" s="256"/>
      <c r="L21" s="256">
        <v>5</v>
      </c>
      <c r="M21" s="256"/>
      <c r="N21" s="65">
        <f>+F21+D21+H21+J21</f>
        <v>38</v>
      </c>
      <c r="O21" s="256"/>
      <c r="P21" s="256">
        <v>11</v>
      </c>
      <c r="Q21" s="55"/>
      <c r="R21" s="40"/>
      <c r="S21" s="34"/>
      <c r="T21" s="40"/>
      <c r="U21" s="40"/>
    </row>
    <row r="22" spans="3:21" ht="11.25">
      <c r="C22" s="176" t="s">
        <v>64</v>
      </c>
      <c r="D22" s="467">
        <f>+D15+D17+D18-D20-D19-D21</f>
        <v>164</v>
      </c>
      <c r="E22" s="176"/>
      <c r="F22" s="467">
        <f>+F15+F17+F18-F20-F19-F21</f>
        <v>138</v>
      </c>
      <c r="G22" s="349"/>
      <c r="H22" s="467">
        <f>+H15+H17+H18-H20-H19-H21</f>
        <v>132</v>
      </c>
      <c r="I22" s="55"/>
      <c r="J22" s="467">
        <f>+J15+J17+J18-J20-J19-J21</f>
        <v>113</v>
      </c>
      <c r="K22" s="55"/>
      <c r="L22" s="467">
        <f>+L15+L17+L18-L20-L19-L21</f>
        <v>-20</v>
      </c>
      <c r="M22" s="55"/>
      <c r="N22" s="264">
        <f>+N15+N17+N18-N20-N19-N21</f>
        <v>547</v>
      </c>
      <c r="O22" s="55"/>
      <c r="P22" s="467">
        <f>+P15+P17+P18-P20-P19-P21</f>
        <v>-87</v>
      </c>
      <c r="Q22" s="55"/>
      <c r="R22" s="467"/>
      <c r="S22" s="34"/>
      <c r="T22" s="467"/>
      <c r="U22" s="467"/>
    </row>
    <row r="23" spans="3:21" ht="6.75" customHeight="1">
      <c r="C23" s="176"/>
      <c r="D23" s="444"/>
      <c r="E23" s="176"/>
      <c r="F23" s="444"/>
      <c r="G23" s="379"/>
      <c r="H23" s="379"/>
      <c r="I23" s="379"/>
      <c r="J23" s="379"/>
      <c r="K23" s="379"/>
      <c r="L23" s="379"/>
      <c r="M23" s="379"/>
      <c r="N23" s="65"/>
      <c r="O23" s="379"/>
      <c r="P23" s="65"/>
      <c r="Q23" s="379"/>
      <c r="R23" s="40"/>
      <c r="S23" s="34"/>
      <c r="T23" s="40"/>
      <c r="U23" s="40"/>
    </row>
    <row r="24" spans="3:21" ht="11.25">
      <c r="C24" s="177" t="s">
        <v>173</v>
      </c>
      <c r="D24" s="55">
        <f>+'Segment  2006 Qtr'!I26</f>
        <v>17</v>
      </c>
      <c r="E24" s="177"/>
      <c r="F24" s="55">
        <v>2</v>
      </c>
      <c r="G24" s="55"/>
      <c r="H24" s="55">
        <v>-3</v>
      </c>
      <c r="I24" s="55"/>
      <c r="J24" s="55">
        <v>-6</v>
      </c>
      <c r="K24" s="55"/>
      <c r="L24" s="55">
        <v>-11</v>
      </c>
      <c r="M24" s="55"/>
      <c r="N24" s="65">
        <f>+F24+D24+H24+J24</f>
        <v>10</v>
      </c>
      <c r="O24" s="55"/>
      <c r="P24" s="65">
        <v>-4</v>
      </c>
      <c r="Q24" s="55"/>
      <c r="R24" s="40"/>
      <c r="S24" s="34"/>
      <c r="T24" s="40"/>
      <c r="U24" s="40"/>
    </row>
    <row r="25" spans="3:21" ht="11.25">
      <c r="C25" s="177" t="s">
        <v>266</v>
      </c>
      <c r="D25" s="55">
        <f>+'Segment  2006 Qtr'!I27</f>
        <v>1</v>
      </c>
      <c r="E25" s="55"/>
      <c r="F25" s="55">
        <v>-1</v>
      </c>
      <c r="G25" s="55"/>
      <c r="H25" s="55">
        <v>-1</v>
      </c>
      <c r="I25" s="55"/>
      <c r="J25" s="55">
        <v>0</v>
      </c>
      <c r="K25" s="55"/>
      <c r="L25" s="55">
        <v>-1</v>
      </c>
      <c r="M25" s="55"/>
      <c r="N25" s="65">
        <f>+F25+D25+H25+J25</f>
        <v>-1</v>
      </c>
      <c r="O25" s="256"/>
      <c r="P25" s="55">
        <v>0</v>
      </c>
      <c r="Q25" s="55"/>
      <c r="R25" s="55"/>
      <c r="S25" s="34"/>
      <c r="T25" s="55"/>
      <c r="U25" s="55"/>
    </row>
    <row r="26" spans="3:21" ht="15.75" customHeight="1" thickBot="1">
      <c r="C26" s="205" t="s">
        <v>268</v>
      </c>
      <c r="D26" s="469">
        <f>+D22-D24+D25</f>
        <v>148</v>
      </c>
      <c r="E26" s="469"/>
      <c r="F26" s="469">
        <f>+F22-F24+F25</f>
        <v>135</v>
      </c>
      <c r="G26" s="397"/>
      <c r="H26" s="397">
        <f>+H22-H24+H25</f>
        <v>134</v>
      </c>
      <c r="I26" s="397"/>
      <c r="J26" s="397">
        <f>+J22-J24+J25</f>
        <v>119</v>
      </c>
      <c r="K26" s="397"/>
      <c r="L26" s="397">
        <f>+L22-L24+L25</f>
        <v>-10</v>
      </c>
      <c r="M26" s="397"/>
      <c r="N26" s="397">
        <f>+N22-N24+N25</f>
        <v>536</v>
      </c>
      <c r="O26" s="397"/>
      <c r="P26" s="397">
        <f>+P22-P24+P25</f>
        <v>-83</v>
      </c>
      <c r="Q26" s="34"/>
      <c r="R26" s="34"/>
      <c r="S26" s="34"/>
      <c r="T26" s="34"/>
      <c r="U26" s="34"/>
    </row>
    <row r="27" spans="4:21" ht="12" thickTop="1">
      <c r="D27" s="44"/>
      <c r="E27" s="44"/>
      <c r="F27" s="44"/>
      <c r="G27" s="44"/>
      <c r="H27" s="44"/>
      <c r="I27" s="44"/>
      <c r="J27" s="44"/>
      <c r="K27" s="44"/>
      <c r="L27" s="44"/>
      <c r="M27" s="44"/>
      <c r="N27" s="44"/>
      <c r="O27" s="44"/>
      <c r="P27" s="44"/>
      <c r="Q27" s="77"/>
      <c r="R27" s="77"/>
      <c r="S27" s="77"/>
      <c r="T27" s="77"/>
      <c r="U27" s="77"/>
    </row>
    <row r="28" spans="3:21" ht="11.25">
      <c r="C28" s="183" t="s">
        <v>135</v>
      </c>
      <c r="D28" s="44"/>
      <c r="E28" s="183"/>
      <c r="F28" s="44"/>
      <c r="G28" s="44"/>
      <c r="H28" s="44"/>
      <c r="I28" s="44"/>
      <c r="J28" s="44"/>
      <c r="K28" s="44"/>
      <c r="L28" s="44"/>
      <c r="M28" s="44"/>
      <c r="N28" s="44"/>
      <c r="O28" s="44"/>
      <c r="P28" s="44"/>
      <c r="Q28" s="77"/>
      <c r="R28" s="77"/>
      <c r="S28" s="77"/>
      <c r="T28" s="77"/>
      <c r="U28" s="77"/>
    </row>
    <row r="29" spans="3:21" ht="11.25">
      <c r="C29" s="1" t="s">
        <v>175</v>
      </c>
      <c r="D29" s="17">
        <f>'Segment  2006 Qtr'!I54</f>
        <v>0.509</v>
      </c>
      <c r="F29" s="17">
        <v>0.525</v>
      </c>
      <c r="G29" s="385"/>
      <c r="H29" s="385">
        <v>0.51</v>
      </c>
      <c r="I29" s="445"/>
      <c r="J29" s="385">
        <v>0.53</v>
      </c>
      <c r="K29" s="385"/>
      <c r="L29" s="385">
        <v>0.896</v>
      </c>
      <c r="M29" s="385"/>
      <c r="N29" s="385">
        <f>'Segment  2006 YTD'!I56</f>
        <v>0.518</v>
      </c>
      <c r="O29" s="385"/>
      <c r="P29" s="385">
        <v>0.916</v>
      </c>
      <c r="Q29" s="385"/>
      <c r="R29" s="445"/>
      <c r="S29" s="445"/>
      <c r="T29" s="445"/>
      <c r="U29" s="445"/>
    </row>
    <row r="30" spans="3:21" ht="11.25">
      <c r="C30" s="1" t="s">
        <v>176</v>
      </c>
      <c r="D30" s="17">
        <f>'Segment  2006 Qtr'!I55</f>
        <v>0.201</v>
      </c>
      <c r="F30" s="17">
        <v>0.19</v>
      </c>
      <c r="G30" s="385"/>
      <c r="H30" s="385">
        <v>0.212</v>
      </c>
      <c r="I30" s="445"/>
      <c r="J30" s="385">
        <v>0.2</v>
      </c>
      <c r="K30" s="385"/>
      <c r="L30" s="385">
        <v>0.196</v>
      </c>
      <c r="M30" s="385"/>
      <c r="N30" s="385">
        <f>'Segment  2006 YTD'!I57</f>
        <v>0.201</v>
      </c>
      <c r="O30" s="385"/>
      <c r="P30" s="385">
        <v>0.196</v>
      </c>
      <c r="Q30" s="385"/>
      <c r="R30" s="445"/>
      <c r="S30" s="445"/>
      <c r="T30" s="445"/>
      <c r="U30" s="445"/>
    </row>
    <row r="31" spans="3:21" ht="11.25">
      <c r="C31" s="1" t="s">
        <v>177</v>
      </c>
      <c r="D31" s="17">
        <f>'Segment  2006 Qtr'!I56</f>
        <v>0.037</v>
      </c>
      <c r="E31" s="17"/>
      <c r="F31" s="17">
        <v>0.042</v>
      </c>
      <c r="G31" s="385"/>
      <c r="H31" s="385">
        <v>0.046</v>
      </c>
      <c r="I31" s="446"/>
      <c r="J31" s="385">
        <v>0.038</v>
      </c>
      <c r="K31" s="386"/>
      <c r="L31" s="385">
        <v>0.034</v>
      </c>
      <c r="M31" s="386"/>
      <c r="N31" s="385">
        <f>'Segment  2006 YTD'!I58</f>
        <v>0.041</v>
      </c>
      <c r="O31" s="386"/>
      <c r="P31" s="386">
        <v>0.039</v>
      </c>
      <c r="Q31" s="385"/>
      <c r="R31" s="445"/>
      <c r="S31" s="445"/>
      <c r="T31" s="445"/>
      <c r="U31" s="445"/>
    </row>
    <row r="32" spans="3:21" ht="12" thickBot="1">
      <c r="C32" s="176" t="s">
        <v>59</v>
      </c>
      <c r="D32" s="184">
        <f>SUM(D29:D31)</f>
        <v>0.747</v>
      </c>
      <c r="E32" s="184"/>
      <c r="F32" s="184">
        <f>SUM(F29:F31)</f>
        <v>0.7570000000000001</v>
      </c>
      <c r="G32" s="184"/>
      <c r="H32" s="184">
        <f>SUM(H29:H31)</f>
        <v>0.768</v>
      </c>
      <c r="I32" s="184"/>
      <c r="J32" s="184">
        <f>SUM(J29:J31)</f>
        <v>0.768</v>
      </c>
      <c r="K32" s="184"/>
      <c r="L32" s="184">
        <f>SUM(L29:L31)</f>
        <v>1.1260000000000001</v>
      </c>
      <c r="M32" s="184"/>
      <c r="N32" s="184">
        <f>SUM(N29:N31)</f>
        <v>0.7600000000000001</v>
      </c>
      <c r="O32" s="184"/>
      <c r="P32" s="184">
        <f>SUM(P29:P31)</f>
        <v>1.151</v>
      </c>
      <c r="Q32" s="18"/>
      <c r="R32" s="18"/>
      <c r="S32" s="18"/>
      <c r="T32" s="18"/>
      <c r="U32" s="18"/>
    </row>
    <row r="33" spans="4:21" ht="12" thickTop="1">
      <c r="D33" s="44"/>
      <c r="E33" s="44"/>
      <c r="F33" s="44"/>
      <c r="G33" s="44"/>
      <c r="H33" s="44"/>
      <c r="I33" s="44"/>
      <c r="J33" s="44"/>
      <c r="K33" s="44"/>
      <c r="L33" s="44"/>
      <c r="M33" s="44"/>
      <c r="N33" s="44"/>
      <c r="O33" s="44"/>
      <c r="P33" s="44"/>
      <c r="Q33" s="77"/>
      <c r="R33" s="77"/>
      <c r="S33" s="77"/>
      <c r="T33" s="77"/>
      <c r="U33" s="77"/>
    </row>
    <row r="34" spans="3:21" ht="11.25">
      <c r="C34" s="35"/>
      <c r="D34" s="39"/>
      <c r="E34" s="35"/>
      <c r="F34" s="39"/>
      <c r="G34" s="39"/>
      <c r="H34" s="39"/>
      <c r="I34" s="33"/>
      <c r="J34" s="39"/>
      <c r="K34" s="39"/>
      <c r="L34" s="60"/>
      <c r="M34" s="60"/>
      <c r="N34" s="441"/>
      <c r="O34" s="60"/>
      <c r="P34" s="441"/>
      <c r="Q34" s="317"/>
      <c r="R34" s="39"/>
      <c r="S34" s="39"/>
      <c r="T34" s="39"/>
      <c r="U34" s="39"/>
    </row>
    <row r="35" spans="3:21" ht="11.25">
      <c r="C35" s="15" t="s">
        <v>248</v>
      </c>
      <c r="D35" s="31"/>
      <c r="E35" s="15"/>
      <c r="F35" s="31"/>
      <c r="G35" s="31"/>
      <c r="H35" s="31"/>
      <c r="I35" s="42"/>
      <c r="J35" s="31"/>
      <c r="K35" s="31"/>
      <c r="L35" s="447"/>
      <c r="M35" s="447"/>
      <c r="N35" s="44"/>
      <c r="O35" s="447"/>
      <c r="P35" s="44"/>
      <c r="Q35" s="560"/>
      <c r="R35" s="441"/>
      <c r="S35" s="441"/>
      <c r="T35" s="441"/>
      <c r="U35" s="441"/>
    </row>
    <row r="36" spans="3:21" ht="11.25">
      <c r="C36" s="1" t="s">
        <v>327</v>
      </c>
      <c r="D36" s="39">
        <v>6</v>
      </c>
      <c r="E36" s="44"/>
      <c r="F36" s="39">
        <v>3</v>
      </c>
      <c r="G36" s="39"/>
      <c r="H36" s="39">
        <v>2</v>
      </c>
      <c r="I36" s="33"/>
      <c r="J36" s="39">
        <v>3</v>
      </c>
      <c r="K36" s="33"/>
      <c r="L36" s="39">
        <v>166</v>
      </c>
      <c r="M36" s="39"/>
      <c r="N36" s="39">
        <f>+D36+F36+H36+J36</f>
        <v>14</v>
      </c>
      <c r="O36" s="39"/>
      <c r="P36" s="39">
        <v>601</v>
      </c>
      <c r="Q36" s="61"/>
      <c r="R36" s="39"/>
      <c r="S36" s="39"/>
      <c r="T36" s="39"/>
      <c r="U36" s="39"/>
    </row>
    <row r="37" spans="3:21" ht="12.75" customHeight="1">
      <c r="C37" s="1" t="s">
        <v>346</v>
      </c>
      <c r="D37" s="39">
        <v>-7</v>
      </c>
      <c r="E37" s="44"/>
      <c r="F37" s="39">
        <v>3</v>
      </c>
      <c r="G37" s="39"/>
      <c r="H37" s="39">
        <v>-4</v>
      </c>
      <c r="I37" s="33"/>
      <c r="J37" s="39">
        <v>3</v>
      </c>
      <c r="K37" s="33"/>
      <c r="L37" s="39">
        <v>-14</v>
      </c>
      <c r="M37" s="39"/>
      <c r="N37" s="39">
        <f>+D37+F37+H37+J37</f>
        <v>-5</v>
      </c>
      <c r="O37" s="39"/>
      <c r="P37" s="39">
        <v>-22</v>
      </c>
      <c r="Q37" s="61"/>
      <c r="R37" s="39"/>
      <c r="S37" s="39"/>
      <c r="T37" s="39"/>
      <c r="U37" s="39"/>
    </row>
    <row r="38" spans="3:21" ht="11.25">
      <c r="C38" s="59"/>
      <c r="D38" s="39"/>
      <c r="E38" s="59"/>
      <c r="F38" s="39"/>
      <c r="G38" s="59"/>
      <c r="H38" s="448"/>
      <c r="I38" s="448"/>
      <c r="J38" s="44"/>
      <c r="K38" s="44"/>
      <c r="L38" s="44"/>
      <c r="M38" s="44"/>
      <c r="N38" s="44"/>
      <c r="O38" s="44"/>
      <c r="P38" s="44"/>
      <c r="Q38" s="77"/>
      <c r="R38" s="44"/>
      <c r="S38" s="44"/>
      <c r="T38" s="44"/>
      <c r="U38" s="44"/>
    </row>
    <row r="39" spans="3:7" ht="11.25">
      <c r="C39" s="571" t="str">
        <f>+'Financial Highlights'!C48</f>
        <v>(1) See page 25 Non-GAAP Financial Measures.</v>
      </c>
      <c r="D39" s="572"/>
      <c r="E39" s="572"/>
      <c r="F39" s="37"/>
      <c r="G39" s="37"/>
    </row>
    <row r="40" spans="3:5" ht="11.25">
      <c r="C40" s="44"/>
      <c r="D40" s="44"/>
      <c r="E40" s="44"/>
    </row>
  </sheetData>
  <sheetProtection objects="1"/>
  <mergeCells count="4">
    <mergeCell ref="C1:R1"/>
    <mergeCell ref="C2:R2"/>
    <mergeCell ref="C3:R3"/>
    <mergeCell ref="C4:R4"/>
  </mergeCells>
  <hyperlinks>
    <hyperlink ref="C39" location="'Reconciliation Non-GAAP'!A1" display="'Reconciliation Non-GAAP'!A1"/>
  </hyperlinks>
  <printOptions/>
  <pageMargins left="0.5" right="0.5" top="0.5" bottom="0.5" header="0.75" footer="0.25"/>
  <pageSetup horizontalDpi="600" verticalDpi="600" orientation="landscape" r:id="rId2"/>
  <headerFooter alignWithMargins="0">
    <oddFooter>&amp;L&amp;A&amp;R&amp;"Arial,Regular"&amp;8Page 11</oddFooter>
  </headerFooter>
  <drawing r:id="rId1"/>
</worksheet>
</file>

<file path=xl/worksheets/sheet14.xml><?xml version="1.0" encoding="utf-8"?>
<worksheet xmlns="http://schemas.openxmlformats.org/spreadsheetml/2006/main" xmlns:r="http://schemas.openxmlformats.org/officeDocument/2006/relationships">
  <sheetPr codeName="Sheet44"/>
  <dimension ref="B1:AD48"/>
  <sheetViews>
    <sheetView workbookViewId="0" topLeftCell="A1">
      <selection activeCell="A6" sqref="A6"/>
    </sheetView>
  </sheetViews>
  <sheetFormatPr defaultColWidth="9.33203125" defaultRowHeight="12.75"/>
  <cols>
    <col min="1" max="2" width="3.33203125" style="1" customWidth="1"/>
    <col min="3" max="3" width="42.33203125" style="1" customWidth="1"/>
    <col min="4" max="4" width="8.83203125" style="1" customWidth="1"/>
    <col min="5" max="5" width="2.33203125" style="1" customWidth="1"/>
    <col min="6" max="6" width="8.83203125" style="1" customWidth="1"/>
    <col min="7" max="7" width="2.33203125" style="1" customWidth="1"/>
    <col min="8" max="8" width="8.83203125" style="1" customWidth="1"/>
    <col min="9" max="9" width="2.33203125" style="1" customWidth="1"/>
    <col min="10" max="10" width="9.16015625" style="1" customWidth="1"/>
    <col min="11" max="11" width="2.33203125" style="1" customWidth="1"/>
    <col min="12" max="12" width="9.16015625" style="24" customWidth="1"/>
    <col min="13" max="13" width="2.33203125" style="24" customWidth="1"/>
    <col min="14" max="14" width="9.16015625" style="24" customWidth="1"/>
    <col min="15" max="15" width="2.33203125" style="24" customWidth="1"/>
    <col min="16" max="16" width="9.16015625" style="24" customWidth="1"/>
    <col min="17" max="17" width="2.33203125" style="24" customWidth="1"/>
    <col min="18" max="22" width="9.33203125" style="7" customWidth="1"/>
    <col min="23" max="24" width="8.83203125" style="1" customWidth="1"/>
    <col min="25" max="16384" width="9" style="1" customWidth="1"/>
  </cols>
  <sheetData>
    <row r="1" spans="3:24" ht="12.75">
      <c r="C1" s="619" t="s">
        <v>96</v>
      </c>
      <c r="D1" s="619"/>
      <c r="E1" s="619"/>
      <c r="F1" s="619"/>
      <c r="G1" s="619"/>
      <c r="H1" s="619"/>
      <c r="I1" s="619"/>
      <c r="J1" s="619"/>
      <c r="K1" s="619"/>
      <c r="L1" s="619"/>
      <c r="M1" s="619"/>
      <c r="N1" s="619"/>
      <c r="O1" s="619"/>
      <c r="P1" s="619"/>
      <c r="Q1" s="619"/>
      <c r="R1" s="619"/>
      <c r="S1" s="20"/>
      <c r="T1" s="20"/>
      <c r="U1" s="20"/>
      <c r="V1" s="20"/>
      <c r="W1" s="20"/>
      <c r="X1" s="20"/>
    </row>
    <row r="2" spans="3:24" ht="12">
      <c r="C2" s="618" t="s">
        <v>260</v>
      </c>
      <c r="D2" s="618"/>
      <c r="E2" s="618"/>
      <c r="F2" s="618"/>
      <c r="G2" s="618"/>
      <c r="H2" s="618"/>
      <c r="I2" s="618"/>
      <c r="J2" s="618"/>
      <c r="K2" s="618"/>
      <c r="L2" s="618"/>
      <c r="M2" s="618"/>
      <c r="N2" s="618"/>
      <c r="O2" s="618"/>
      <c r="P2" s="618"/>
      <c r="Q2" s="618"/>
      <c r="R2" s="618"/>
      <c r="S2" s="2"/>
      <c r="T2" s="2"/>
      <c r="U2" s="2"/>
      <c r="V2" s="2"/>
      <c r="W2" s="2"/>
      <c r="X2" s="2"/>
    </row>
    <row r="3" spans="3:24" ht="12">
      <c r="C3" s="617" t="s">
        <v>154</v>
      </c>
      <c r="D3" s="617"/>
      <c r="E3" s="617"/>
      <c r="F3" s="617"/>
      <c r="G3" s="617"/>
      <c r="H3" s="617"/>
      <c r="I3" s="617"/>
      <c r="J3" s="617"/>
      <c r="K3" s="617"/>
      <c r="L3" s="617"/>
      <c r="M3" s="617"/>
      <c r="N3" s="617"/>
      <c r="O3" s="617"/>
      <c r="P3" s="617"/>
      <c r="Q3" s="617"/>
      <c r="R3" s="617"/>
      <c r="S3" s="21"/>
      <c r="T3" s="21"/>
      <c r="U3" s="21"/>
      <c r="V3" s="21"/>
      <c r="W3" s="21"/>
      <c r="X3" s="21"/>
    </row>
    <row r="4" spans="2:24" ht="12">
      <c r="B4" s="539"/>
      <c r="C4" s="617" t="s">
        <v>170</v>
      </c>
      <c r="D4" s="617"/>
      <c r="E4" s="617"/>
      <c r="F4" s="617"/>
      <c r="G4" s="617"/>
      <c r="H4" s="617"/>
      <c r="I4" s="617"/>
      <c r="J4" s="617"/>
      <c r="K4" s="617"/>
      <c r="L4" s="617"/>
      <c r="M4" s="617"/>
      <c r="N4" s="617"/>
      <c r="O4" s="617"/>
      <c r="P4" s="617"/>
      <c r="Q4" s="617"/>
      <c r="R4" s="617"/>
      <c r="S4" s="21"/>
      <c r="T4" s="21"/>
      <c r="U4" s="21"/>
      <c r="V4" s="21"/>
      <c r="W4" s="21"/>
      <c r="X4" s="21"/>
    </row>
    <row r="5" ht="6" customHeight="1"/>
    <row r="6" ht="11.25" customHeight="1">
      <c r="C6" s="539"/>
    </row>
    <row r="7" spans="3:24" ht="12.75">
      <c r="C7" s="3" t="s">
        <v>123</v>
      </c>
      <c r="D7" s="3"/>
      <c r="E7" s="3"/>
      <c r="F7" s="3"/>
      <c r="G7" s="3"/>
      <c r="H7" s="306"/>
      <c r="I7" s="306"/>
      <c r="J7" s="44"/>
      <c r="K7" s="44"/>
      <c r="L7" s="64"/>
      <c r="M7" s="64"/>
      <c r="N7" s="440" t="s">
        <v>19</v>
      </c>
      <c r="O7" s="1"/>
      <c r="P7" s="440" t="s">
        <v>19</v>
      </c>
      <c r="Q7" s="64"/>
      <c r="R7" s="456"/>
      <c r="S7" s="456"/>
      <c r="T7" s="456"/>
      <c r="U7" s="456"/>
      <c r="V7" s="456"/>
      <c r="W7" s="22"/>
      <c r="X7" s="22"/>
    </row>
    <row r="8" spans="4:27" ht="11.25">
      <c r="D8" s="4" t="s">
        <v>432</v>
      </c>
      <c r="E8" s="81"/>
      <c r="F8" s="4" t="s">
        <v>408</v>
      </c>
      <c r="G8" s="81"/>
      <c r="H8" s="4" t="s">
        <v>404</v>
      </c>
      <c r="I8" s="4"/>
      <c r="J8" s="62" t="s">
        <v>356</v>
      </c>
      <c r="K8" s="416"/>
      <c r="L8" s="62" t="s">
        <v>2</v>
      </c>
      <c r="M8" s="62"/>
      <c r="N8" s="23">
        <v>2006</v>
      </c>
      <c r="O8" s="4"/>
      <c r="P8" s="23">
        <v>2005</v>
      </c>
      <c r="Q8" s="62"/>
      <c r="R8" s="509"/>
      <c r="S8" s="509"/>
      <c r="T8" s="509"/>
      <c r="U8" s="509"/>
      <c r="V8" s="509"/>
      <c r="W8" s="30"/>
      <c r="X8" s="30"/>
      <c r="AA8" s="4" t="s">
        <v>313</v>
      </c>
    </row>
    <row r="9" spans="4:27" ht="13.5" customHeight="1">
      <c r="D9" s="5"/>
      <c r="F9" s="5"/>
      <c r="G9" s="5"/>
      <c r="H9" s="426"/>
      <c r="I9" s="426"/>
      <c r="J9" s="395"/>
      <c r="K9" s="426"/>
      <c r="L9" s="395"/>
      <c r="M9" s="426"/>
      <c r="N9" s="456"/>
      <c r="O9" s="426"/>
      <c r="P9" s="456"/>
      <c r="Q9" s="426"/>
      <c r="R9" s="456"/>
      <c r="S9" s="456"/>
      <c r="T9" s="456"/>
      <c r="U9" s="456"/>
      <c r="V9" s="456"/>
      <c r="W9" s="124"/>
      <c r="X9" s="124"/>
      <c r="AA9" s="170"/>
    </row>
    <row r="10" spans="3:22" ht="11.25" customHeight="1">
      <c r="C10" s="15" t="s">
        <v>15</v>
      </c>
      <c r="E10" s="15"/>
      <c r="H10" s="44"/>
      <c r="I10" s="44"/>
      <c r="J10" s="44"/>
      <c r="K10" s="44"/>
      <c r="L10" s="44"/>
      <c r="M10" s="44"/>
      <c r="N10" s="44"/>
      <c r="O10" s="44"/>
      <c r="P10" s="44"/>
      <c r="Q10" s="44"/>
      <c r="R10" s="77"/>
      <c r="S10" s="77"/>
      <c r="T10" s="77"/>
      <c r="U10" s="77"/>
      <c r="V10" s="77"/>
    </row>
    <row r="11" spans="3:24" ht="11.25" customHeight="1">
      <c r="C11" s="1" t="s">
        <v>132</v>
      </c>
      <c r="D11" s="235">
        <f>(+'Global Reinsurance '!D10/'Global Reinsurance '!L10)-1</f>
        <v>-0.0905797101449275</v>
      </c>
      <c r="E11" s="1"/>
      <c r="F11" s="235">
        <v>-0.25</v>
      </c>
      <c r="G11" s="235"/>
      <c r="H11" s="235">
        <v>0.14</v>
      </c>
      <c r="I11" s="235"/>
      <c r="J11" s="235">
        <v>0.14</v>
      </c>
      <c r="K11" s="235"/>
      <c r="L11" s="235">
        <v>-0.01</v>
      </c>
      <c r="M11" s="235"/>
      <c r="N11" s="235">
        <f>(+'Global Reinsurance '!N10/'Global Reinsurance '!P10)-1</f>
        <v>0.002587322121604174</v>
      </c>
      <c r="O11" s="235"/>
      <c r="P11" s="235">
        <f>+(1546-1518)/1518</f>
        <v>0.01844532279314888</v>
      </c>
      <c r="Q11" s="235"/>
      <c r="R11" s="510"/>
      <c r="S11" s="510"/>
      <c r="T11" s="510"/>
      <c r="U11" s="510"/>
      <c r="V11" s="510"/>
      <c r="W11" s="235"/>
      <c r="X11" s="235"/>
    </row>
    <row r="12" spans="3:24" ht="11.25" customHeight="1">
      <c r="C12" s="1" t="s">
        <v>20</v>
      </c>
      <c r="D12" s="235">
        <f>(+'Global Reinsurance '!D11/'Global Reinsurance '!L11)-1</f>
        <v>-0.03797468354430378</v>
      </c>
      <c r="E12" s="1"/>
      <c r="F12" s="235">
        <v>-0.09</v>
      </c>
      <c r="G12" s="235"/>
      <c r="H12" s="235">
        <v>0.04</v>
      </c>
      <c r="I12" s="235"/>
      <c r="J12" s="235">
        <v>0.04</v>
      </c>
      <c r="K12" s="235"/>
      <c r="L12" s="235">
        <v>0.1</v>
      </c>
      <c r="M12" s="235"/>
      <c r="N12" s="235">
        <f>(+'Global Reinsurance '!N11/'Global Reinsurance '!P11)-1</f>
        <v>-0.013063357282821708</v>
      </c>
      <c r="O12" s="235"/>
      <c r="P12" s="235">
        <f>+(1531-1389)/1389</f>
        <v>0.10223182145428365</v>
      </c>
      <c r="Q12" s="235"/>
      <c r="R12" s="510"/>
      <c r="S12" s="510"/>
      <c r="T12" s="510"/>
      <c r="U12" s="510"/>
      <c r="V12" s="510"/>
      <c r="W12" s="235"/>
      <c r="X12" s="235"/>
    </row>
    <row r="13" spans="4:24" ht="7.5" customHeight="1">
      <c r="D13" s="235"/>
      <c r="F13" s="235"/>
      <c r="G13" s="235"/>
      <c r="H13" s="235"/>
      <c r="I13" s="235"/>
      <c r="J13" s="235"/>
      <c r="K13" s="235"/>
      <c r="L13" s="235"/>
      <c r="M13" s="235"/>
      <c r="N13" s="235"/>
      <c r="O13" s="235"/>
      <c r="P13" s="235"/>
      <c r="Q13" s="235"/>
      <c r="R13" s="510"/>
      <c r="S13" s="510"/>
      <c r="T13" s="510"/>
      <c r="U13" s="510"/>
      <c r="V13" s="510"/>
      <c r="W13" s="235"/>
      <c r="X13" s="235"/>
    </row>
    <row r="14" spans="3:24" ht="11.25" customHeight="1">
      <c r="C14" s="15" t="s">
        <v>16</v>
      </c>
      <c r="D14" s="235"/>
      <c r="E14" s="15"/>
      <c r="F14" s="235"/>
      <c r="G14" s="235"/>
      <c r="H14" s="235"/>
      <c r="I14" s="235"/>
      <c r="J14" s="235"/>
      <c r="K14" s="235"/>
      <c r="L14" s="235"/>
      <c r="M14" s="235"/>
      <c r="N14" s="235"/>
      <c r="O14" s="235"/>
      <c r="P14" s="235"/>
      <c r="Q14" s="235"/>
      <c r="R14" s="510"/>
      <c r="S14" s="510"/>
      <c r="T14" s="510"/>
      <c r="U14" s="510"/>
      <c r="V14" s="510"/>
      <c r="W14" s="235"/>
      <c r="X14" s="235"/>
    </row>
    <row r="15" spans="3:24" ht="11.25" customHeight="1">
      <c r="C15" s="1" t="s">
        <v>58</v>
      </c>
      <c r="D15" s="235">
        <f>+'Global Reinsurance '!D10/'Global Reinsurance '!D9</f>
        <v>0.984313725490196</v>
      </c>
      <c r="E15" s="1"/>
      <c r="F15" s="235">
        <v>0.98</v>
      </c>
      <c r="G15" s="235"/>
      <c r="H15" s="235">
        <v>1</v>
      </c>
      <c r="I15" s="235"/>
      <c r="J15" s="235">
        <v>0.99</v>
      </c>
      <c r="K15" s="235"/>
      <c r="L15" s="235">
        <v>0.98</v>
      </c>
      <c r="M15" s="235"/>
      <c r="N15" s="235">
        <f>+'Global Reinsurance '!N10/'Global Reinsurance '!N9</f>
        <v>0.9891512444160817</v>
      </c>
      <c r="O15" s="235"/>
      <c r="P15" s="235">
        <f>+'Global Reinsurance '!P10/'Global Reinsurance '!P9</f>
        <v>0.9668542839274546</v>
      </c>
      <c r="Q15" s="235"/>
      <c r="R15" s="510"/>
      <c r="S15" s="510"/>
      <c r="T15" s="510"/>
      <c r="U15" s="510"/>
      <c r="V15" s="510"/>
      <c r="W15" s="235"/>
      <c r="X15" s="235"/>
    </row>
    <row r="16" spans="18:22" ht="6.75" customHeight="1">
      <c r="R16" s="162"/>
      <c r="S16" s="162"/>
      <c r="T16" s="162"/>
      <c r="U16" s="162"/>
      <c r="V16" s="162"/>
    </row>
    <row r="17" spans="3:17" ht="11.25">
      <c r="C17" s="44"/>
      <c r="D17" s="24"/>
      <c r="E17" s="44"/>
      <c r="F17" s="24"/>
      <c r="G17" s="24"/>
      <c r="H17" s="24"/>
      <c r="I17" s="24"/>
      <c r="L17" s="1"/>
      <c r="M17" s="1"/>
      <c r="N17" s="1"/>
      <c r="O17" s="1"/>
      <c r="P17" s="1"/>
      <c r="Q17" s="1"/>
    </row>
    <row r="18" spans="3:17" ht="12.75">
      <c r="C18" s="3" t="s">
        <v>240</v>
      </c>
      <c r="E18" s="3"/>
      <c r="L18" s="1"/>
      <c r="M18" s="1"/>
      <c r="N18" s="440" t="str">
        <f>+N7</f>
        <v>Full Year</v>
      </c>
      <c r="O18" s="1"/>
      <c r="P18" s="440" t="str">
        <f>+P7</f>
        <v>Full Year</v>
      </c>
      <c r="Q18" s="1"/>
    </row>
    <row r="19" spans="4:28" ht="11.25" customHeight="1">
      <c r="D19" s="4" t="str">
        <f>D8</f>
        <v>4Q-06</v>
      </c>
      <c r="E19" s="81"/>
      <c r="F19" s="4" t="str">
        <f>F8</f>
        <v>3Q-06</v>
      </c>
      <c r="G19" s="81"/>
      <c r="H19" s="4" t="str">
        <f>H8</f>
        <v>2Q-06</v>
      </c>
      <c r="I19" s="4"/>
      <c r="J19" s="4" t="str">
        <f>J8</f>
        <v>1Q-06</v>
      </c>
      <c r="K19" s="416"/>
      <c r="L19" s="4" t="str">
        <f>L8</f>
        <v>4Q-05</v>
      </c>
      <c r="M19" s="62"/>
      <c r="N19" s="23">
        <f>N8</f>
        <v>2006</v>
      </c>
      <c r="O19" s="4"/>
      <c r="P19" s="23">
        <f>P8</f>
        <v>2005</v>
      </c>
      <c r="Q19" s="62"/>
      <c r="R19" s="77"/>
      <c r="S19" s="77"/>
      <c r="T19" s="77"/>
      <c r="U19" s="77"/>
      <c r="V19" s="77"/>
      <c r="AA19" s="1" t="s">
        <v>323</v>
      </c>
      <c r="AB19" s="1" t="s">
        <v>322</v>
      </c>
    </row>
    <row r="20" spans="4:22" ht="11.25" customHeight="1">
      <c r="D20" s="5"/>
      <c r="E20" s="7"/>
      <c r="F20" s="5"/>
      <c r="G20" s="5"/>
      <c r="H20" s="426"/>
      <c r="I20" s="77"/>
      <c r="J20" s="426"/>
      <c r="K20" s="426"/>
      <c r="L20" s="426"/>
      <c r="M20" s="426"/>
      <c r="N20" s="509"/>
      <c r="O20" s="426"/>
      <c r="P20" s="509"/>
      <c r="Q20" s="426"/>
      <c r="R20" s="77"/>
      <c r="S20" s="77"/>
      <c r="T20" s="77"/>
      <c r="U20" s="77"/>
      <c r="V20" s="77"/>
    </row>
    <row r="21" spans="3:22" ht="11.25" customHeight="1">
      <c r="C21" s="183" t="s">
        <v>131</v>
      </c>
      <c r="D21" s="5"/>
      <c r="E21" s="7"/>
      <c r="F21" s="5"/>
      <c r="G21" s="5"/>
      <c r="H21" s="426"/>
      <c r="I21" s="77"/>
      <c r="J21" s="426"/>
      <c r="K21" s="426"/>
      <c r="L21" s="426"/>
      <c r="M21" s="426"/>
      <c r="N21" s="509"/>
      <c r="O21" s="426"/>
      <c r="P21" s="509"/>
      <c r="Q21" s="426"/>
      <c r="R21" s="77"/>
      <c r="S21" s="77"/>
      <c r="T21" s="77"/>
      <c r="U21" s="77"/>
      <c r="V21" s="77"/>
    </row>
    <row r="22" spans="3:30" ht="11.25" customHeight="1">
      <c r="C22" s="1" t="s">
        <v>41</v>
      </c>
      <c r="D22" s="60">
        <v>58</v>
      </c>
      <c r="F22" s="60">
        <v>60</v>
      </c>
      <c r="G22" s="60"/>
      <c r="H22" s="60">
        <v>56</v>
      </c>
      <c r="I22" s="39"/>
      <c r="J22" s="39">
        <v>104</v>
      </c>
      <c r="K22" s="39"/>
      <c r="L22" s="39">
        <v>60</v>
      </c>
      <c r="M22" s="39"/>
      <c r="N22" s="39">
        <f>+F22+D22+H22+J22</f>
        <v>278</v>
      </c>
      <c r="O22" s="39"/>
      <c r="P22" s="39">
        <v>292</v>
      </c>
      <c r="Q22" s="39"/>
      <c r="R22" s="61"/>
      <c r="S22" s="61"/>
      <c r="T22" s="61"/>
      <c r="U22" s="61"/>
      <c r="V22" s="61"/>
      <c r="W22" s="65"/>
      <c r="X22" s="65">
        <v>232</v>
      </c>
      <c r="AA22" s="39">
        <v>126</v>
      </c>
      <c r="AB22" s="39">
        <v>60</v>
      </c>
      <c r="AC22" s="39"/>
      <c r="AD22" s="39"/>
    </row>
    <row r="23" spans="3:30" ht="11.25">
      <c r="C23" s="1" t="s">
        <v>213</v>
      </c>
      <c r="D23" s="418">
        <v>181</v>
      </c>
      <c r="F23" s="418">
        <v>178</v>
      </c>
      <c r="G23" s="418"/>
      <c r="H23" s="418">
        <v>249</v>
      </c>
      <c r="I23" s="419"/>
      <c r="J23" s="419">
        <v>295</v>
      </c>
      <c r="K23" s="419"/>
      <c r="L23" s="419">
        <v>193</v>
      </c>
      <c r="M23" s="419"/>
      <c r="N23" s="418">
        <f>+F23+D23+H23+J23</f>
        <v>903</v>
      </c>
      <c r="O23" s="419"/>
      <c r="P23" s="418">
        <v>903</v>
      </c>
      <c r="Q23" s="419"/>
      <c r="R23" s="40"/>
      <c r="S23" s="40"/>
      <c r="T23" s="40"/>
      <c r="U23" s="40"/>
      <c r="V23" s="40"/>
      <c r="W23" s="65"/>
      <c r="X23" s="65">
        <v>710</v>
      </c>
      <c r="AA23" s="65">
        <v>256</v>
      </c>
      <c r="AB23" s="65">
        <v>225</v>
      </c>
      <c r="AC23" s="422"/>
      <c r="AD23" s="65"/>
    </row>
    <row r="24" spans="3:30" ht="11.25">
      <c r="C24" s="1" t="s">
        <v>214</v>
      </c>
      <c r="D24" s="418">
        <v>16</v>
      </c>
      <c r="F24" s="418">
        <v>53</v>
      </c>
      <c r="G24" s="418"/>
      <c r="H24" s="418">
        <v>112</v>
      </c>
      <c r="I24" s="419"/>
      <c r="J24" s="419">
        <v>205</v>
      </c>
      <c r="K24" s="419"/>
      <c r="L24" s="419">
        <v>30</v>
      </c>
      <c r="M24" s="419"/>
      <c r="N24" s="418">
        <f>+F24+D24+H24+J24</f>
        <v>386</v>
      </c>
      <c r="O24" s="419"/>
      <c r="P24" s="418">
        <v>404</v>
      </c>
      <c r="Q24" s="419"/>
      <c r="R24" s="40"/>
      <c r="S24" s="40"/>
      <c r="T24" s="40"/>
      <c r="U24" s="40"/>
      <c r="V24" s="40"/>
      <c r="W24" s="65"/>
      <c r="X24" s="65">
        <v>374</v>
      </c>
      <c r="AA24" s="65">
        <v>197</v>
      </c>
      <c r="AB24" s="65">
        <v>83</v>
      </c>
      <c r="AC24" s="422"/>
      <c r="AD24" s="65"/>
    </row>
    <row r="25" spans="3:30" ht="11.25" customHeight="1" thickBot="1">
      <c r="C25" s="189" t="s">
        <v>8</v>
      </c>
      <c r="D25" s="420">
        <f>+D24+D23+D22</f>
        <v>255</v>
      </c>
      <c r="E25" s="483"/>
      <c r="F25" s="420">
        <f>+F24+F23+F22</f>
        <v>291</v>
      </c>
      <c r="G25" s="420"/>
      <c r="H25" s="420">
        <f>+H24+H23+H22</f>
        <v>417</v>
      </c>
      <c r="I25" s="420"/>
      <c r="J25" s="420">
        <f>+J24+J23+J22</f>
        <v>604</v>
      </c>
      <c r="K25" s="420"/>
      <c r="L25" s="420">
        <f>+L24+L23+L22</f>
        <v>283</v>
      </c>
      <c r="M25" s="421"/>
      <c r="N25" s="420">
        <f>+N24+N23+N22</f>
        <v>1567</v>
      </c>
      <c r="O25" s="421"/>
      <c r="P25" s="420">
        <v>1599</v>
      </c>
      <c r="Q25" s="421"/>
      <c r="R25" s="236"/>
      <c r="S25" s="236"/>
      <c r="T25" s="236"/>
      <c r="U25" s="236"/>
      <c r="V25" s="236"/>
      <c r="W25" s="65"/>
      <c r="X25" s="65">
        <v>1316</v>
      </c>
      <c r="AA25" s="420">
        <f>+AA24+AA23+AA22</f>
        <v>579</v>
      </c>
      <c r="AB25" s="420">
        <f>+AB24+AB23+AB22</f>
        <v>368</v>
      </c>
      <c r="AC25" s="438"/>
      <c r="AD25" s="420"/>
    </row>
    <row r="26" spans="4:30" ht="11.25" customHeight="1" thickTop="1">
      <c r="D26" s="40"/>
      <c r="F26" s="40"/>
      <c r="G26" s="40"/>
      <c r="H26" s="40"/>
      <c r="I26" s="40"/>
      <c r="J26" s="40"/>
      <c r="K26" s="40"/>
      <c r="L26" s="349"/>
      <c r="M26" s="349"/>
      <c r="N26" s="87"/>
      <c r="O26" s="349"/>
      <c r="P26" s="87"/>
      <c r="Q26" s="349"/>
      <c r="R26" s="379"/>
      <c r="S26" s="379"/>
      <c r="T26" s="379"/>
      <c r="U26" s="379"/>
      <c r="V26" s="379"/>
      <c r="W26" s="379"/>
      <c r="X26" s="65">
        <v>0</v>
      </c>
      <c r="AA26" s="379"/>
      <c r="AB26" s="379"/>
      <c r="AC26" s="380"/>
      <c r="AD26" s="379"/>
    </row>
    <row r="27" spans="3:30" ht="11.25" customHeight="1">
      <c r="C27" s="183" t="s">
        <v>132</v>
      </c>
      <c r="D27" s="35"/>
      <c r="E27" s="183"/>
      <c r="F27" s="35"/>
      <c r="G27" s="35"/>
      <c r="H27" s="44"/>
      <c r="I27" s="44"/>
      <c r="J27" s="44"/>
      <c r="K27" s="44"/>
      <c r="L27" s="44"/>
      <c r="M27" s="44"/>
      <c r="N27" s="44"/>
      <c r="O27" s="44"/>
      <c r="P27" s="44"/>
      <c r="Q27" s="44"/>
      <c r="R27" s="77"/>
      <c r="S27" s="77"/>
      <c r="T27" s="77"/>
      <c r="U27" s="77"/>
      <c r="V27" s="77"/>
      <c r="W27" s="380"/>
      <c r="X27" s="65">
        <v>0</v>
      </c>
      <c r="AA27" s="380"/>
      <c r="AB27" s="380"/>
      <c r="AC27" s="380"/>
      <c r="AD27" s="380"/>
    </row>
    <row r="28" spans="3:30" ht="11.25" customHeight="1">
      <c r="C28" s="1" t="s">
        <v>41</v>
      </c>
      <c r="D28" s="60">
        <v>57</v>
      </c>
      <c r="F28" s="60">
        <v>58</v>
      </c>
      <c r="G28" s="60"/>
      <c r="H28" s="60">
        <v>53</v>
      </c>
      <c r="I28" s="39"/>
      <c r="J28" s="39">
        <v>101</v>
      </c>
      <c r="K28" s="39"/>
      <c r="L28" s="39">
        <v>58</v>
      </c>
      <c r="M28" s="39"/>
      <c r="N28" s="39">
        <f>+F28+D28+H28+J28</f>
        <v>269</v>
      </c>
      <c r="O28" s="39"/>
      <c r="P28" s="39">
        <v>280</v>
      </c>
      <c r="Q28" s="39"/>
      <c r="R28" s="61"/>
      <c r="S28" s="61"/>
      <c r="T28" s="61"/>
      <c r="U28" s="61"/>
      <c r="V28" s="61"/>
      <c r="W28" s="65"/>
      <c r="X28" s="65">
        <v>222</v>
      </c>
      <c r="AA28" s="39">
        <v>122</v>
      </c>
      <c r="AB28" s="39">
        <v>54</v>
      </c>
      <c r="AC28" s="39"/>
      <c r="AD28" s="39"/>
    </row>
    <row r="29" spans="3:30" ht="11.25">
      <c r="C29" s="1" t="s">
        <v>213</v>
      </c>
      <c r="D29" s="418">
        <v>181</v>
      </c>
      <c r="F29" s="418">
        <v>177</v>
      </c>
      <c r="G29" s="418"/>
      <c r="H29" s="418">
        <v>249</v>
      </c>
      <c r="I29" s="419"/>
      <c r="J29" s="419">
        <v>295</v>
      </c>
      <c r="K29" s="419"/>
      <c r="L29" s="419">
        <v>193</v>
      </c>
      <c r="M29" s="419"/>
      <c r="N29" s="418">
        <f>+F29+D29+H29+J29</f>
        <v>902</v>
      </c>
      <c r="O29" s="419"/>
      <c r="P29" s="418">
        <v>898</v>
      </c>
      <c r="Q29" s="419"/>
      <c r="R29" s="40"/>
      <c r="S29" s="40"/>
      <c r="T29" s="40"/>
      <c r="U29" s="40"/>
      <c r="V29" s="40"/>
      <c r="W29" s="65"/>
      <c r="X29" s="65">
        <v>705</v>
      </c>
      <c r="AA29" s="65">
        <v>254</v>
      </c>
      <c r="AB29" s="65">
        <v>224</v>
      </c>
      <c r="AC29" s="422"/>
      <c r="AD29" s="65"/>
    </row>
    <row r="30" spans="3:30" ht="11.25">
      <c r="C30" s="1" t="s">
        <v>214</v>
      </c>
      <c r="D30" s="418">
        <v>13</v>
      </c>
      <c r="F30" s="418">
        <v>49</v>
      </c>
      <c r="G30" s="418"/>
      <c r="H30" s="418">
        <v>113</v>
      </c>
      <c r="I30" s="419"/>
      <c r="J30" s="419">
        <v>204</v>
      </c>
      <c r="K30" s="419"/>
      <c r="L30" s="419">
        <v>25</v>
      </c>
      <c r="M30" s="419"/>
      <c r="N30" s="418">
        <f>+F30+D30+H30+J30</f>
        <v>379</v>
      </c>
      <c r="O30" s="419"/>
      <c r="P30" s="418">
        <v>368</v>
      </c>
      <c r="Q30" s="419"/>
      <c r="R30" s="40"/>
      <c r="S30" s="40"/>
      <c r="T30" s="40"/>
      <c r="U30" s="40"/>
      <c r="V30" s="40"/>
      <c r="W30" s="65"/>
      <c r="X30" s="65">
        <v>343</v>
      </c>
      <c r="AA30" s="65">
        <v>196</v>
      </c>
      <c r="AB30" s="65">
        <v>87</v>
      </c>
      <c r="AC30" s="422"/>
      <c r="AD30" s="65"/>
    </row>
    <row r="31" spans="3:30" ht="12" thickBot="1">
      <c r="C31" s="189" t="s">
        <v>8</v>
      </c>
      <c r="D31" s="420">
        <f>+D30+D29+D28</f>
        <v>251</v>
      </c>
      <c r="E31" s="483"/>
      <c r="F31" s="420">
        <f>+F30+F29+F28</f>
        <v>284</v>
      </c>
      <c r="G31" s="420"/>
      <c r="H31" s="420">
        <f>+H30+H29+H28</f>
        <v>415</v>
      </c>
      <c r="I31" s="420"/>
      <c r="J31" s="420">
        <f>+J30+J29+J28</f>
        <v>600</v>
      </c>
      <c r="K31" s="420"/>
      <c r="L31" s="420">
        <f>+L30+L29+L28</f>
        <v>276</v>
      </c>
      <c r="M31" s="421"/>
      <c r="N31" s="420">
        <f>+N30+N29+N28</f>
        <v>1550</v>
      </c>
      <c r="O31" s="421"/>
      <c r="P31" s="420">
        <v>1546</v>
      </c>
      <c r="Q31" s="421"/>
      <c r="R31" s="236"/>
      <c r="S31" s="236"/>
      <c r="T31" s="236"/>
      <c r="U31" s="236"/>
      <c r="V31" s="236"/>
      <c r="W31" s="65"/>
      <c r="X31" s="65">
        <v>1270</v>
      </c>
      <c r="AA31" s="420">
        <f>+AA30+AA29+AA28</f>
        <v>572</v>
      </c>
      <c r="AB31" s="420">
        <f>+AB30+AB29+AB28</f>
        <v>365</v>
      </c>
      <c r="AC31" s="438"/>
      <c r="AD31" s="420"/>
    </row>
    <row r="32" spans="3:30" ht="12" thickTop="1">
      <c r="C32" s="57"/>
      <c r="D32" s="87"/>
      <c r="E32" s="57"/>
      <c r="F32" s="87"/>
      <c r="G32" s="87"/>
      <c r="H32" s="87"/>
      <c r="I32" s="40"/>
      <c r="J32" s="87"/>
      <c r="K32" s="87"/>
      <c r="L32" s="377"/>
      <c r="M32" s="377"/>
      <c r="N32" s="40"/>
      <c r="O32" s="377"/>
      <c r="P32" s="40"/>
      <c r="Q32" s="377"/>
      <c r="R32" s="381"/>
      <c r="S32" s="381"/>
      <c r="T32" s="381"/>
      <c r="U32" s="381"/>
      <c r="V32" s="381"/>
      <c r="W32" s="381"/>
      <c r="X32" s="65">
        <v>0</v>
      </c>
      <c r="AA32" s="381"/>
      <c r="AB32" s="381"/>
      <c r="AC32" s="381"/>
      <c r="AD32" s="381"/>
    </row>
    <row r="33" spans="3:30" ht="11.25">
      <c r="C33" s="183" t="s">
        <v>133</v>
      </c>
      <c r="D33" s="42"/>
      <c r="E33" s="183"/>
      <c r="F33" s="42"/>
      <c r="G33" s="42"/>
      <c r="H33" s="44"/>
      <c r="I33" s="44"/>
      <c r="J33" s="44"/>
      <c r="K33" s="44"/>
      <c r="L33" s="44"/>
      <c r="M33" s="44"/>
      <c r="N33" s="44"/>
      <c r="O33" s="44"/>
      <c r="P33" s="44"/>
      <c r="Q33" s="44"/>
      <c r="R33" s="77"/>
      <c r="S33" s="77"/>
      <c r="T33" s="77"/>
      <c r="U33" s="77"/>
      <c r="V33" s="77"/>
      <c r="W33" s="31"/>
      <c r="X33" s="65">
        <v>0</v>
      </c>
      <c r="AA33" s="31"/>
      <c r="AB33" s="31"/>
      <c r="AC33" s="455"/>
      <c r="AD33" s="31"/>
    </row>
    <row r="34" spans="3:30" ht="11.25">
      <c r="C34" s="1" t="s">
        <v>41</v>
      </c>
      <c r="D34" s="60">
        <v>68</v>
      </c>
      <c r="F34" s="60">
        <v>66</v>
      </c>
      <c r="G34" s="60"/>
      <c r="H34" s="60">
        <v>68</v>
      </c>
      <c r="I34" s="39"/>
      <c r="J34" s="39">
        <v>70</v>
      </c>
      <c r="K34" s="39"/>
      <c r="L34" s="39">
        <v>74</v>
      </c>
      <c r="M34" s="39"/>
      <c r="N34" s="39">
        <f>+F34+D34+H34+J34</f>
        <v>272</v>
      </c>
      <c r="O34" s="39"/>
      <c r="P34" s="39">
        <v>295</v>
      </c>
      <c r="Q34" s="39"/>
      <c r="R34" s="61"/>
      <c r="S34" s="61"/>
      <c r="T34" s="61"/>
      <c r="U34" s="61"/>
      <c r="V34" s="61"/>
      <c r="W34" s="65"/>
      <c r="X34" s="65">
        <v>221</v>
      </c>
      <c r="AA34" s="39">
        <v>75</v>
      </c>
      <c r="AB34" s="39">
        <v>75</v>
      </c>
      <c r="AC34" s="39"/>
      <c r="AD34" s="39"/>
    </row>
    <row r="35" spans="3:30" ht="11.25">
      <c r="C35" s="1" t="s">
        <v>213</v>
      </c>
      <c r="D35" s="418">
        <v>216</v>
      </c>
      <c r="F35" s="418">
        <v>210</v>
      </c>
      <c r="G35" s="418"/>
      <c r="H35" s="418">
        <v>231</v>
      </c>
      <c r="I35" s="419"/>
      <c r="J35" s="419">
        <v>215</v>
      </c>
      <c r="K35" s="419"/>
      <c r="L35" s="419">
        <v>222</v>
      </c>
      <c r="M35" s="419"/>
      <c r="N35" s="418">
        <f>+F35+D35+H35+J35</f>
        <v>872</v>
      </c>
      <c r="O35" s="419"/>
      <c r="P35" s="418">
        <v>887</v>
      </c>
      <c r="Q35" s="419"/>
      <c r="R35" s="40"/>
      <c r="S35" s="40"/>
      <c r="T35" s="40"/>
      <c r="U35" s="40"/>
      <c r="V35" s="40"/>
      <c r="W35" s="65"/>
      <c r="X35" s="65">
        <v>665</v>
      </c>
      <c r="AA35" s="65">
        <v>171</v>
      </c>
      <c r="AB35" s="65">
        <v>189</v>
      </c>
      <c r="AC35" s="422"/>
      <c r="AD35" s="65"/>
    </row>
    <row r="36" spans="3:30" ht="11.25">
      <c r="C36" s="1" t="s">
        <v>214</v>
      </c>
      <c r="D36" s="418">
        <v>96</v>
      </c>
      <c r="F36" s="418">
        <v>97</v>
      </c>
      <c r="G36" s="418"/>
      <c r="H36" s="418">
        <v>88</v>
      </c>
      <c r="I36" s="419"/>
      <c r="J36" s="419">
        <v>86</v>
      </c>
      <c r="K36" s="419"/>
      <c r="L36" s="419">
        <v>99</v>
      </c>
      <c r="M36" s="419"/>
      <c r="N36" s="418">
        <f>+F36+D36+H36+J36</f>
        <v>367</v>
      </c>
      <c r="O36" s="419"/>
      <c r="P36" s="418">
        <v>349</v>
      </c>
      <c r="Q36" s="419"/>
      <c r="R36" s="40"/>
      <c r="S36" s="40"/>
      <c r="T36" s="40"/>
      <c r="U36" s="40"/>
      <c r="V36" s="40"/>
      <c r="W36" s="65"/>
      <c r="X36" s="65">
        <v>250</v>
      </c>
      <c r="AA36" s="65">
        <v>86</v>
      </c>
      <c r="AB36" s="65">
        <v>83</v>
      </c>
      <c r="AC36" s="422"/>
      <c r="AD36" s="65"/>
    </row>
    <row r="37" spans="3:30" ht="12" thickBot="1">
      <c r="C37" s="189" t="s">
        <v>8</v>
      </c>
      <c r="D37" s="420">
        <f>+D36+D35+D34</f>
        <v>380</v>
      </c>
      <c r="E37" s="483"/>
      <c r="F37" s="420">
        <f>+F36+F35+F34</f>
        <v>373</v>
      </c>
      <c r="G37" s="420"/>
      <c r="H37" s="420">
        <f>+H36+H35+H34</f>
        <v>387</v>
      </c>
      <c r="I37" s="420"/>
      <c r="J37" s="420">
        <f>+J36+J35+J34</f>
        <v>371</v>
      </c>
      <c r="K37" s="420"/>
      <c r="L37" s="420">
        <f>+L36+L35+L34</f>
        <v>395</v>
      </c>
      <c r="M37" s="421"/>
      <c r="N37" s="420">
        <f>+N36+N35+N34</f>
        <v>1511</v>
      </c>
      <c r="O37" s="421"/>
      <c r="P37" s="420">
        <v>1531</v>
      </c>
      <c r="Q37" s="421"/>
      <c r="R37" s="236"/>
      <c r="S37" s="236"/>
      <c r="T37" s="236"/>
      <c r="U37" s="236"/>
      <c r="V37" s="236"/>
      <c r="W37" s="65"/>
      <c r="X37" s="65">
        <v>1136</v>
      </c>
      <c r="AA37" s="420">
        <f>+AA36+AA35+AA34</f>
        <v>332</v>
      </c>
      <c r="AB37" s="420">
        <f>+AB36+AB35+AB34</f>
        <v>347</v>
      </c>
      <c r="AC37" s="438"/>
      <c r="AD37" s="420"/>
    </row>
    <row r="38" spans="3:24" ht="12" thickTop="1">
      <c r="C38" s="57"/>
      <c r="D38" s="379"/>
      <c r="E38" s="57"/>
      <c r="F38" s="379"/>
      <c r="G38" s="379"/>
      <c r="H38" s="379"/>
      <c r="I38" s="379"/>
      <c r="J38" s="77"/>
      <c r="K38" s="77"/>
      <c r="L38" s="144"/>
      <c r="M38" s="144"/>
      <c r="N38" s="379"/>
      <c r="O38" s="144"/>
      <c r="P38" s="379"/>
      <c r="Q38" s="144"/>
      <c r="R38" s="77"/>
      <c r="S38" s="77"/>
      <c r="T38" s="77"/>
      <c r="U38" s="77"/>
      <c r="V38" s="77"/>
      <c r="W38" s="13"/>
      <c r="X38" s="13"/>
    </row>
    <row r="39" spans="3:24" ht="11.25">
      <c r="C39" s="38" t="s">
        <v>58</v>
      </c>
      <c r="D39" s="17"/>
      <c r="E39" s="38"/>
      <c r="F39" s="17"/>
      <c r="G39" s="17"/>
      <c r="H39" s="17"/>
      <c r="I39" s="17"/>
      <c r="J39" s="17"/>
      <c r="K39" s="17"/>
      <c r="L39" s="27"/>
      <c r="M39" s="27"/>
      <c r="N39" s="17"/>
      <c r="O39" s="27"/>
      <c r="P39" s="17"/>
      <c r="Q39" s="27"/>
      <c r="R39" s="77"/>
      <c r="S39" s="77"/>
      <c r="T39" s="77"/>
      <c r="U39" s="77"/>
      <c r="V39" s="77"/>
      <c r="W39" s="17"/>
      <c r="X39" s="17"/>
    </row>
    <row r="40" spans="3:24" ht="11.25">
      <c r="C40" s="1" t="s">
        <v>41</v>
      </c>
      <c r="D40" s="246">
        <f>+D28/D22</f>
        <v>0.9827586206896551</v>
      </c>
      <c r="F40" s="246">
        <f>+F28/F22</f>
        <v>0.9666666666666667</v>
      </c>
      <c r="G40" s="246"/>
      <c r="H40" s="246">
        <f>+H28/H22</f>
        <v>0.9464285714285714</v>
      </c>
      <c r="I40" s="246"/>
      <c r="J40" s="246">
        <f>+J28/J22</f>
        <v>0.9711538461538461</v>
      </c>
      <c r="K40" s="246"/>
      <c r="L40" s="246">
        <f>+L28/L22</f>
        <v>0.9666666666666667</v>
      </c>
      <c r="M40" s="235"/>
      <c r="N40" s="246">
        <f>+N28/N22</f>
        <v>0.9676258992805755</v>
      </c>
      <c r="O40" s="235"/>
      <c r="P40" s="246">
        <f>+P28/P22</f>
        <v>0.958904109589041</v>
      </c>
      <c r="Q40" s="235"/>
      <c r="R40" s="247"/>
      <c r="S40" s="247"/>
      <c r="T40" s="247"/>
      <c r="U40" s="247"/>
      <c r="V40" s="247"/>
      <c r="W40" s="246"/>
      <c r="X40" s="246"/>
    </row>
    <row r="41" spans="3:24" ht="11.25">
      <c r="C41" s="1" t="s">
        <v>213</v>
      </c>
      <c r="D41" s="246">
        <f>+D29/D23</f>
        <v>1</v>
      </c>
      <c r="F41" s="246">
        <f>+F29/F23</f>
        <v>0.9943820224719101</v>
      </c>
      <c r="G41" s="246"/>
      <c r="H41" s="246">
        <f>+H29/H23</f>
        <v>1</v>
      </c>
      <c r="I41" s="246"/>
      <c r="J41" s="246">
        <f>+J29/J23</f>
        <v>1</v>
      </c>
      <c r="K41" s="246"/>
      <c r="L41" s="246">
        <f>+L29/L23</f>
        <v>1</v>
      </c>
      <c r="M41" s="235"/>
      <c r="N41" s="246">
        <f>+N29/N23</f>
        <v>0.9988925802879292</v>
      </c>
      <c r="O41" s="235"/>
      <c r="P41" s="246">
        <f>+P29/P23</f>
        <v>0.9944629014396457</v>
      </c>
      <c r="Q41" s="235"/>
      <c r="R41" s="247"/>
      <c r="S41" s="247"/>
      <c r="T41" s="247"/>
      <c r="U41" s="247"/>
      <c r="V41" s="247"/>
      <c r="W41" s="246"/>
      <c r="X41" s="246"/>
    </row>
    <row r="42" spans="3:24" ht="11.25">
      <c r="C42" s="1" t="s">
        <v>214</v>
      </c>
      <c r="D42" s="246">
        <f>+D30/D24</f>
        <v>0.8125</v>
      </c>
      <c r="F42" s="246">
        <f>+F30/F24</f>
        <v>0.9245283018867925</v>
      </c>
      <c r="G42" s="246"/>
      <c r="H42" s="246">
        <f>+H30/H24</f>
        <v>1.0089285714285714</v>
      </c>
      <c r="I42" s="246"/>
      <c r="J42" s="246">
        <f>+J30/J24</f>
        <v>0.9951219512195122</v>
      </c>
      <c r="K42" s="246"/>
      <c r="L42" s="246">
        <f>+L30/L24</f>
        <v>0.8333333333333334</v>
      </c>
      <c r="M42" s="235"/>
      <c r="N42" s="246">
        <f>+N30/N24</f>
        <v>0.9818652849740933</v>
      </c>
      <c r="O42" s="235"/>
      <c r="P42" s="246">
        <f>+P30/P24</f>
        <v>0.9108910891089109</v>
      </c>
      <c r="Q42" s="235"/>
      <c r="R42" s="247"/>
      <c r="S42" s="247"/>
      <c r="T42" s="247"/>
      <c r="U42" s="247"/>
      <c r="V42" s="247"/>
      <c r="W42" s="246"/>
      <c r="X42" s="246"/>
    </row>
    <row r="43" spans="3:24" ht="12" thickBot="1">
      <c r="C43" s="189" t="s">
        <v>10</v>
      </c>
      <c r="D43" s="248">
        <f>+D31/D25</f>
        <v>0.984313725490196</v>
      </c>
      <c r="E43" s="483"/>
      <c r="F43" s="248">
        <f>+F31/F25</f>
        <v>0.9759450171821306</v>
      </c>
      <c r="G43" s="248"/>
      <c r="H43" s="248">
        <f>+H31/H25</f>
        <v>0.9952038369304557</v>
      </c>
      <c r="I43" s="248"/>
      <c r="J43" s="248">
        <f>+J31/J25</f>
        <v>0.9933774834437086</v>
      </c>
      <c r="K43" s="248"/>
      <c r="L43" s="248">
        <f>+L31/L25</f>
        <v>0.9752650176678446</v>
      </c>
      <c r="M43" s="249"/>
      <c r="N43" s="248">
        <f>+N31/N25</f>
        <v>0.9891512444160817</v>
      </c>
      <c r="O43" s="249"/>
      <c r="P43" s="248">
        <f>+P31/P25</f>
        <v>0.9668542839274546</v>
      </c>
      <c r="Q43" s="249"/>
      <c r="R43" s="388"/>
      <c r="S43" s="388"/>
      <c r="T43" s="388"/>
      <c r="U43" s="388"/>
      <c r="V43" s="388"/>
      <c r="W43" s="388"/>
      <c r="X43" s="388"/>
    </row>
    <row r="44" spans="6:22" ht="12" thickTop="1">
      <c r="F44" s="44"/>
      <c r="G44" s="44"/>
      <c r="H44" s="44"/>
      <c r="I44" s="44"/>
      <c r="J44" s="44"/>
      <c r="K44" s="44"/>
      <c r="L44" s="44"/>
      <c r="M44" s="44"/>
      <c r="N44" s="44"/>
      <c r="O44" s="44"/>
      <c r="P44" s="44"/>
      <c r="Q44" s="44"/>
      <c r="R44" s="77"/>
      <c r="S44" s="77"/>
      <c r="T44" s="77"/>
      <c r="U44" s="77"/>
      <c r="V44" s="77"/>
    </row>
    <row r="45" spans="8:22" ht="11.25">
      <c r="H45" s="44"/>
      <c r="I45" s="44"/>
      <c r="J45" s="44"/>
      <c r="K45" s="44"/>
      <c r="L45" s="64"/>
      <c r="M45" s="64"/>
      <c r="N45" s="64"/>
      <c r="O45" s="64"/>
      <c r="P45" s="64"/>
      <c r="Q45" s="64"/>
      <c r="R45" s="77"/>
      <c r="S45" s="77"/>
      <c r="T45" s="77"/>
      <c r="U45" s="77"/>
      <c r="V45" s="77"/>
    </row>
    <row r="48" spans="3:7" ht="11.25">
      <c r="C48" s="102"/>
      <c r="D48" s="102"/>
      <c r="E48" s="102"/>
      <c r="F48" s="102"/>
      <c r="G48" s="102"/>
    </row>
  </sheetData>
  <mergeCells count="4">
    <mergeCell ref="C1:R1"/>
    <mergeCell ref="C3:R3"/>
    <mergeCell ref="C4:R4"/>
    <mergeCell ref="C2:R2"/>
  </mergeCells>
  <printOptions/>
  <pageMargins left="0.5" right="0.5" top="0.5" bottom="0.5" header="0.75" footer="0.25"/>
  <pageSetup horizontalDpi="600" verticalDpi="600" orientation="landscape" r:id="rId2"/>
  <headerFooter alignWithMargins="0">
    <oddFooter>&amp;L&amp;A&amp;R&amp;"Arial,Regular"&amp;8Page 12</oddFooter>
  </headerFooter>
  <drawing r:id="rId1"/>
</worksheet>
</file>

<file path=xl/worksheets/sheet15.xml><?xml version="1.0" encoding="utf-8"?>
<worksheet xmlns="http://schemas.openxmlformats.org/spreadsheetml/2006/main" xmlns:r="http://schemas.openxmlformats.org/officeDocument/2006/relationships">
  <sheetPr codeName="Sheet26"/>
  <dimension ref="C1:P35"/>
  <sheetViews>
    <sheetView workbookViewId="0" topLeftCell="A1">
      <selection activeCell="A6" sqref="A6"/>
    </sheetView>
  </sheetViews>
  <sheetFormatPr defaultColWidth="9.33203125" defaultRowHeight="12.75"/>
  <cols>
    <col min="1" max="2" width="3.33203125" style="1" customWidth="1"/>
    <col min="3" max="3" width="43" style="1" customWidth="1"/>
    <col min="4" max="4" width="8.83203125" style="1" customWidth="1"/>
    <col min="5" max="5" width="2.33203125" style="1" customWidth="1"/>
    <col min="6" max="6" width="8.83203125" style="1" customWidth="1"/>
    <col min="7" max="7" width="2.33203125" style="1" customWidth="1"/>
    <col min="8" max="8" width="8.83203125" style="1" customWidth="1"/>
    <col min="9" max="9" width="2.33203125" style="1" customWidth="1"/>
    <col min="10" max="10" width="8.83203125" style="1" customWidth="1"/>
    <col min="11" max="11" width="2.33203125" style="1" customWidth="1"/>
    <col min="12" max="15" width="8.83203125" style="1" customWidth="1"/>
    <col min="16" max="16384" width="9" style="1" customWidth="1"/>
  </cols>
  <sheetData>
    <row r="1" spans="3:15" ht="12.75">
      <c r="C1" s="619" t="s">
        <v>96</v>
      </c>
      <c r="D1" s="619"/>
      <c r="E1" s="619"/>
      <c r="F1" s="619"/>
      <c r="G1" s="619"/>
      <c r="H1" s="619"/>
      <c r="I1" s="619"/>
      <c r="J1" s="619"/>
      <c r="K1" s="619"/>
      <c r="L1" s="619"/>
      <c r="M1" s="619"/>
      <c r="N1" s="619"/>
      <c r="O1" s="20"/>
    </row>
    <row r="2" spans="3:15" ht="12">
      <c r="C2" s="618" t="s">
        <v>441</v>
      </c>
      <c r="D2" s="618"/>
      <c r="E2" s="618"/>
      <c r="F2" s="618"/>
      <c r="G2" s="618"/>
      <c r="H2" s="618"/>
      <c r="I2" s="618"/>
      <c r="J2" s="618"/>
      <c r="K2" s="618"/>
      <c r="L2" s="618"/>
      <c r="M2" s="618"/>
      <c r="N2" s="618"/>
      <c r="O2" s="2"/>
    </row>
    <row r="3" spans="3:15" ht="12">
      <c r="C3" s="617" t="s">
        <v>154</v>
      </c>
      <c r="D3" s="617"/>
      <c r="E3" s="617"/>
      <c r="F3" s="617"/>
      <c r="G3" s="617"/>
      <c r="H3" s="617"/>
      <c r="I3" s="617"/>
      <c r="J3" s="617"/>
      <c r="K3" s="617"/>
      <c r="L3" s="617"/>
      <c r="M3" s="617"/>
      <c r="N3" s="617"/>
      <c r="O3" s="21"/>
    </row>
    <row r="4" spans="3:15" ht="12">
      <c r="C4" s="617" t="s">
        <v>170</v>
      </c>
      <c r="D4" s="617"/>
      <c r="E4" s="617"/>
      <c r="F4" s="617"/>
      <c r="G4" s="617"/>
      <c r="H4" s="617"/>
      <c r="I4" s="617"/>
      <c r="J4" s="617"/>
      <c r="K4" s="617"/>
      <c r="L4" s="617"/>
      <c r="M4" s="617"/>
      <c r="N4" s="617"/>
      <c r="O4" s="21"/>
    </row>
    <row r="5" ht="11.25">
      <c r="C5" s="539"/>
    </row>
    <row r="6" spans="3:15" ht="12.75">
      <c r="C6" s="187" t="s">
        <v>123</v>
      </c>
      <c r="D6" s="187"/>
      <c r="E6" s="187"/>
      <c r="F6" s="187"/>
      <c r="G6" s="187"/>
      <c r="H6" s="3"/>
      <c r="I6" s="3"/>
      <c r="J6" s="440" t="s">
        <v>19</v>
      </c>
      <c r="L6" s="456"/>
      <c r="M6" s="456"/>
      <c r="N6" s="456"/>
      <c r="O6" s="456"/>
    </row>
    <row r="7" spans="4:15" ht="11.25">
      <c r="D7" s="4" t="s">
        <v>321</v>
      </c>
      <c r="E7" s="81"/>
      <c r="F7" s="4" t="s">
        <v>433</v>
      </c>
      <c r="G7" s="4"/>
      <c r="H7" s="4" t="s">
        <v>434</v>
      </c>
      <c r="I7" s="4"/>
      <c r="J7" s="23">
        <v>2004</v>
      </c>
      <c r="K7" s="4"/>
      <c r="L7" s="30"/>
      <c r="M7" s="30"/>
      <c r="N7" s="30"/>
      <c r="O7" s="30"/>
    </row>
    <row r="8" spans="3:16" ht="13.5" customHeight="1">
      <c r="C8" s="15"/>
      <c r="D8" s="2"/>
      <c r="F8" s="2"/>
      <c r="H8" s="2"/>
      <c r="J8" s="2"/>
      <c r="L8" s="2"/>
      <c r="N8" s="2"/>
      <c r="P8" s="2"/>
    </row>
    <row r="9" spans="3:15" ht="11.25" customHeight="1">
      <c r="C9" s="1" t="s">
        <v>131</v>
      </c>
      <c r="D9" s="39">
        <v>411</v>
      </c>
      <c r="F9" s="39">
        <v>369</v>
      </c>
      <c r="G9" s="33"/>
      <c r="H9" s="33">
        <v>536</v>
      </c>
      <c r="I9" s="33"/>
      <c r="J9" s="33">
        <v>1567</v>
      </c>
      <c r="K9" s="33"/>
      <c r="L9" s="34"/>
      <c r="M9" s="34"/>
      <c r="N9" s="34"/>
      <c r="O9" s="34"/>
    </row>
    <row r="10" spans="3:15" ht="11.25" customHeight="1">
      <c r="C10" s="1" t="s">
        <v>132</v>
      </c>
      <c r="D10" s="55">
        <v>380</v>
      </c>
      <c r="F10" s="55">
        <v>363</v>
      </c>
      <c r="G10" s="55"/>
      <c r="H10" s="55">
        <v>527</v>
      </c>
      <c r="I10" s="55"/>
      <c r="J10" s="65">
        <v>1518</v>
      </c>
      <c r="K10" s="55"/>
      <c r="L10" s="40"/>
      <c r="M10" s="40"/>
      <c r="N10" s="40"/>
      <c r="O10" s="40"/>
    </row>
    <row r="11" spans="3:15" ht="11.25" customHeight="1">
      <c r="C11" s="1" t="s">
        <v>133</v>
      </c>
      <c r="D11" s="55">
        <v>408</v>
      </c>
      <c r="F11" s="55">
        <v>372</v>
      </c>
      <c r="G11" s="55"/>
      <c r="H11" s="55">
        <v>356</v>
      </c>
      <c r="I11" s="55"/>
      <c r="J11" s="65">
        <v>1389</v>
      </c>
      <c r="K11" s="55"/>
      <c r="L11" s="40"/>
      <c r="M11" s="40"/>
      <c r="N11" s="40"/>
      <c r="O11" s="40"/>
    </row>
    <row r="12" spans="3:15" ht="11.25" customHeight="1">
      <c r="C12" s="1" t="s">
        <v>126</v>
      </c>
      <c r="D12" s="55">
        <v>637</v>
      </c>
      <c r="F12" s="55">
        <v>206</v>
      </c>
      <c r="G12" s="55"/>
      <c r="H12" s="55">
        <v>205</v>
      </c>
      <c r="I12" s="55"/>
      <c r="J12" s="65">
        <v>973</v>
      </c>
      <c r="K12" s="55"/>
      <c r="L12" s="40"/>
      <c r="M12" s="40"/>
      <c r="N12" s="40"/>
      <c r="O12" s="40"/>
    </row>
    <row r="13" spans="3:15" ht="11.25" customHeight="1">
      <c r="C13" s="1" t="s">
        <v>136</v>
      </c>
      <c r="D13" s="55">
        <v>76</v>
      </c>
      <c r="F13" s="55">
        <v>76</v>
      </c>
      <c r="G13" s="55"/>
      <c r="H13" s="55">
        <v>71</v>
      </c>
      <c r="I13" s="55"/>
      <c r="J13" s="65">
        <v>265</v>
      </c>
      <c r="K13" s="55"/>
      <c r="L13" s="40"/>
      <c r="M13" s="40"/>
      <c r="N13" s="40"/>
      <c r="O13" s="40"/>
    </row>
    <row r="14" spans="3:15" ht="11.25" customHeight="1">
      <c r="C14" s="1" t="s">
        <v>134</v>
      </c>
      <c r="D14" s="55">
        <v>16</v>
      </c>
      <c r="E14" s="81"/>
      <c r="F14" s="55">
        <v>16</v>
      </c>
      <c r="G14" s="55"/>
      <c r="H14" s="55">
        <v>15</v>
      </c>
      <c r="I14" s="55"/>
      <c r="J14" s="65">
        <v>65</v>
      </c>
      <c r="K14" s="55"/>
      <c r="L14" s="40"/>
      <c r="M14" s="40"/>
      <c r="N14" s="40"/>
      <c r="O14" s="40"/>
    </row>
    <row r="15" spans="3:15" ht="11.25" customHeight="1">
      <c r="C15" s="1" t="s">
        <v>63</v>
      </c>
      <c r="D15" s="466">
        <f>+D11-D12-D13-D14</f>
        <v>-321</v>
      </c>
      <c r="F15" s="466">
        <f>+F11-F12-F13-F14</f>
        <v>74</v>
      </c>
      <c r="G15" s="264"/>
      <c r="H15" s="264">
        <f>+H11-H12-H13-H14</f>
        <v>65</v>
      </c>
      <c r="I15" s="264"/>
      <c r="J15" s="264">
        <f>+J11-J12-J13-J14</f>
        <v>86</v>
      </c>
      <c r="K15" s="264"/>
      <c r="L15" s="349"/>
      <c r="M15" s="349"/>
      <c r="N15" s="349"/>
      <c r="O15" s="349"/>
    </row>
    <row r="16" spans="4:15" ht="4.5" customHeight="1">
      <c r="D16" s="444"/>
      <c r="F16" s="444"/>
      <c r="G16" s="379"/>
      <c r="H16" s="379"/>
      <c r="I16" s="379"/>
      <c r="J16" s="40"/>
      <c r="K16" s="379"/>
      <c r="L16" s="40"/>
      <c r="M16" s="40"/>
      <c r="N16" s="40"/>
      <c r="O16" s="40"/>
    </row>
    <row r="17" spans="3:15" ht="11.25">
      <c r="C17" s="1" t="s">
        <v>128</v>
      </c>
      <c r="D17" s="55">
        <v>45</v>
      </c>
      <c r="F17" s="55">
        <v>40</v>
      </c>
      <c r="G17" s="55"/>
      <c r="H17" s="55">
        <v>39</v>
      </c>
      <c r="I17" s="55"/>
      <c r="J17" s="65">
        <v>126</v>
      </c>
      <c r="K17" s="55"/>
      <c r="L17" s="40"/>
      <c r="M17" s="40"/>
      <c r="N17" s="40"/>
      <c r="O17" s="40"/>
    </row>
    <row r="18" spans="3:15" ht="11.25">
      <c r="C18" s="177" t="s">
        <v>173</v>
      </c>
      <c r="D18" s="55">
        <v>7</v>
      </c>
      <c r="E18" s="177"/>
      <c r="F18" s="55">
        <v>6</v>
      </c>
      <c r="G18" s="55"/>
      <c r="H18" s="55">
        <v>-6</v>
      </c>
      <c r="I18" s="55"/>
      <c r="J18" s="65">
        <v>27</v>
      </c>
      <c r="K18" s="55"/>
      <c r="L18" s="40"/>
      <c r="M18" s="40"/>
      <c r="N18" s="40"/>
      <c r="O18" s="40"/>
    </row>
    <row r="19" spans="3:15" ht="11.25">
      <c r="C19" s="1" t="s">
        <v>146</v>
      </c>
      <c r="D19" s="55">
        <v>1</v>
      </c>
      <c r="F19" s="55">
        <v>0</v>
      </c>
      <c r="G19" s="55"/>
      <c r="H19" s="55">
        <v>1</v>
      </c>
      <c r="I19" s="55"/>
      <c r="J19" s="65">
        <v>0</v>
      </c>
      <c r="K19" s="55"/>
      <c r="L19" s="55"/>
      <c r="M19" s="55"/>
      <c r="N19" s="55"/>
      <c r="O19" s="55"/>
    </row>
    <row r="20" spans="3:15" ht="11.25">
      <c r="C20" s="1" t="s">
        <v>265</v>
      </c>
      <c r="D20" s="55">
        <v>3</v>
      </c>
      <c r="F20" s="55">
        <v>2</v>
      </c>
      <c r="G20" s="55"/>
      <c r="H20" s="55">
        <v>3</v>
      </c>
      <c r="I20" s="55"/>
      <c r="J20" s="65">
        <v>5</v>
      </c>
      <c r="K20" s="55"/>
      <c r="L20" s="40"/>
      <c r="M20" s="40"/>
      <c r="N20" s="40"/>
      <c r="O20" s="40"/>
    </row>
    <row r="21" spans="3:15" ht="11.25">
      <c r="C21" s="176" t="s">
        <v>158</v>
      </c>
      <c r="D21" s="256">
        <v>-12</v>
      </c>
      <c r="E21" s="484"/>
      <c r="F21" s="256">
        <v>9</v>
      </c>
      <c r="G21" s="256"/>
      <c r="H21" s="256">
        <v>9</v>
      </c>
      <c r="I21" s="256"/>
      <c r="J21" s="234">
        <v>14</v>
      </c>
      <c r="K21" s="256"/>
      <c r="L21" s="40"/>
      <c r="M21" s="40"/>
      <c r="N21" s="40"/>
      <c r="O21" s="40"/>
    </row>
    <row r="22" spans="3:15" ht="11.25">
      <c r="C22" s="176" t="s">
        <v>64</v>
      </c>
      <c r="D22" s="467">
        <f>+D15+D17+D18-D20-D19-D21</f>
        <v>-261</v>
      </c>
      <c r="E22" s="176"/>
      <c r="F22" s="467">
        <f>+F15+F17+F18-F20-F19-F21</f>
        <v>109</v>
      </c>
      <c r="G22" s="349"/>
      <c r="H22" s="467">
        <f>+H15+H17+H18-H20-H19-H21</f>
        <v>85</v>
      </c>
      <c r="I22" s="55"/>
      <c r="J22" s="467">
        <f>+J15+J17+J18-J20-J19-J21</f>
        <v>220</v>
      </c>
      <c r="K22" s="55"/>
      <c r="L22" s="467"/>
      <c r="M22" s="467"/>
      <c r="N22" s="467"/>
      <c r="O22" s="467"/>
    </row>
    <row r="23" spans="3:15" ht="6.75" customHeight="1">
      <c r="C23" s="176"/>
      <c r="D23" s="444"/>
      <c r="E23" s="176"/>
      <c r="F23" s="444"/>
      <c r="G23" s="379"/>
      <c r="H23" s="379"/>
      <c r="I23" s="379"/>
      <c r="J23" s="65"/>
      <c r="K23" s="379"/>
      <c r="L23" s="40"/>
      <c r="M23" s="40"/>
      <c r="N23" s="40"/>
      <c r="O23" s="40"/>
    </row>
    <row r="24" spans="3:15" ht="11.25">
      <c r="C24" s="177" t="s">
        <v>173</v>
      </c>
      <c r="D24" s="55">
        <v>7</v>
      </c>
      <c r="E24" s="177"/>
      <c r="F24" s="55">
        <v>6</v>
      </c>
      <c r="G24" s="55"/>
      <c r="H24" s="55">
        <v>-6</v>
      </c>
      <c r="I24" s="55"/>
      <c r="J24" s="65">
        <v>27</v>
      </c>
      <c r="K24" s="55"/>
      <c r="L24" s="40"/>
      <c r="M24" s="40"/>
      <c r="N24" s="40"/>
      <c r="O24" s="40"/>
    </row>
    <row r="25" spans="3:15" ht="11.25">
      <c r="C25" s="177" t="s">
        <v>266</v>
      </c>
      <c r="D25" s="55">
        <v>1</v>
      </c>
      <c r="E25" s="55"/>
      <c r="F25" s="55">
        <v>0</v>
      </c>
      <c r="G25" s="55"/>
      <c r="H25" s="55">
        <v>0</v>
      </c>
      <c r="I25" s="55"/>
      <c r="J25" s="256">
        <v>0</v>
      </c>
      <c r="K25" s="256"/>
      <c r="L25" s="55"/>
      <c r="M25" s="55"/>
      <c r="N25" s="55"/>
      <c r="O25" s="55"/>
    </row>
    <row r="26" spans="3:15" ht="15.75" customHeight="1" thickBot="1">
      <c r="C26" s="205" t="s">
        <v>268</v>
      </c>
      <c r="D26" s="469">
        <f>+D22-D24+D25</f>
        <v>-267</v>
      </c>
      <c r="E26" s="469"/>
      <c r="F26" s="469">
        <f>+F22-F24+F25</f>
        <v>103</v>
      </c>
      <c r="G26" s="397"/>
      <c r="H26" s="397">
        <f>+H22-H24+H25</f>
        <v>91</v>
      </c>
      <c r="I26" s="397"/>
      <c r="J26" s="397">
        <f>+J22-J24+J25</f>
        <v>193</v>
      </c>
      <c r="K26" s="397"/>
      <c r="L26" s="34"/>
      <c r="M26" s="34"/>
      <c r="N26" s="34"/>
      <c r="O26" s="34"/>
    </row>
    <row r="27" spans="4:15" ht="12" thickTop="1">
      <c r="D27" s="44"/>
      <c r="E27" s="44"/>
      <c r="F27" s="44"/>
      <c r="G27" s="44"/>
      <c r="H27" s="44"/>
      <c r="I27" s="44"/>
      <c r="J27" s="44"/>
      <c r="K27" s="44"/>
      <c r="L27" s="77"/>
      <c r="M27" s="77"/>
      <c r="N27" s="77"/>
      <c r="O27" s="77"/>
    </row>
    <row r="28" spans="3:15" ht="11.25">
      <c r="C28" s="183" t="s">
        <v>135</v>
      </c>
      <c r="D28" s="44"/>
      <c r="E28" s="183"/>
      <c r="F28" s="44"/>
      <c r="G28" s="44"/>
      <c r="H28" s="44"/>
      <c r="I28" s="44"/>
      <c r="J28" s="44"/>
      <c r="K28" s="44"/>
      <c r="L28" s="77"/>
      <c r="M28" s="77"/>
      <c r="N28" s="77"/>
      <c r="O28" s="77"/>
    </row>
    <row r="29" spans="3:15" ht="11.25">
      <c r="C29" s="1" t="s">
        <v>175</v>
      </c>
      <c r="D29" s="17">
        <v>1.562</v>
      </c>
      <c r="F29" s="17">
        <v>0.554</v>
      </c>
      <c r="G29" s="385"/>
      <c r="H29" s="385">
        <v>0.576</v>
      </c>
      <c r="I29" s="445"/>
      <c r="J29" s="385">
        <v>0.701</v>
      </c>
      <c r="K29" s="385"/>
      <c r="L29" s="445"/>
      <c r="M29" s="445"/>
      <c r="N29" s="445"/>
      <c r="O29" s="445"/>
    </row>
    <row r="30" spans="3:15" ht="11.25">
      <c r="C30" s="1" t="s">
        <v>176</v>
      </c>
      <c r="D30" s="17">
        <v>0.187</v>
      </c>
      <c r="F30" s="17">
        <v>0.202</v>
      </c>
      <c r="G30" s="385"/>
      <c r="H30" s="385">
        <v>0.2</v>
      </c>
      <c r="I30" s="445"/>
      <c r="J30" s="385">
        <v>0.191</v>
      </c>
      <c r="K30" s="385"/>
      <c r="L30" s="445"/>
      <c r="M30" s="445"/>
      <c r="N30" s="445"/>
      <c r="O30" s="445"/>
    </row>
    <row r="31" spans="3:15" ht="11.25">
      <c r="C31" s="1" t="s">
        <v>177</v>
      </c>
      <c r="D31" s="17">
        <v>0.04</v>
      </c>
      <c r="E31" s="17"/>
      <c r="F31" s="17">
        <v>0.041</v>
      </c>
      <c r="G31" s="385"/>
      <c r="H31" s="385">
        <v>0.043</v>
      </c>
      <c r="I31" s="446"/>
      <c r="J31" s="385">
        <v>0.046</v>
      </c>
      <c r="K31" s="386"/>
      <c r="L31" s="445"/>
      <c r="M31" s="445"/>
      <c r="N31" s="445"/>
      <c r="O31" s="445"/>
    </row>
    <row r="32" spans="3:15" ht="12" thickBot="1">
      <c r="C32" s="176" t="s">
        <v>59</v>
      </c>
      <c r="D32" s="184">
        <f>SUM(D29:D31)</f>
        <v>1.7890000000000001</v>
      </c>
      <c r="E32" s="184"/>
      <c r="F32" s="184">
        <f>SUM(F29:F31)</f>
        <v>0.797</v>
      </c>
      <c r="G32" s="184"/>
      <c r="H32" s="184">
        <f>SUM(H29:H31)</f>
        <v>0.8190000000000001</v>
      </c>
      <c r="I32" s="184"/>
      <c r="J32" s="184">
        <f>SUM(J29:J31)</f>
        <v>0.938</v>
      </c>
      <c r="K32" s="184"/>
      <c r="L32" s="18"/>
      <c r="M32" s="18"/>
      <c r="N32" s="18"/>
      <c r="O32" s="18"/>
    </row>
    <row r="33" spans="4:15" ht="12" thickTop="1">
      <c r="D33" s="44"/>
      <c r="E33" s="44"/>
      <c r="F33" s="44"/>
      <c r="G33" s="44"/>
      <c r="H33" s="44"/>
      <c r="I33" s="44"/>
      <c r="J33" s="44"/>
      <c r="K33" s="44"/>
      <c r="L33" s="77"/>
      <c r="M33" s="77"/>
      <c r="N33" s="77"/>
      <c r="O33" s="77"/>
    </row>
    <row r="34" spans="3:15" ht="11.25">
      <c r="C34" s="59"/>
      <c r="D34" s="39"/>
      <c r="E34" s="59"/>
      <c r="F34" s="39"/>
      <c r="G34" s="59"/>
      <c r="H34" s="448"/>
      <c r="I34" s="448"/>
      <c r="J34" s="44"/>
      <c r="K34" s="44"/>
      <c r="L34" s="44"/>
      <c r="M34" s="44"/>
      <c r="N34" s="44"/>
      <c r="O34" s="44"/>
    </row>
    <row r="35" spans="3:7" ht="11.25">
      <c r="C35" s="571" t="str">
        <f>+'Financial Highlights'!C48</f>
        <v>(1) See page 25 Non-GAAP Financial Measures.</v>
      </c>
      <c r="D35" s="572"/>
      <c r="E35" s="572"/>
      <c r="F35" s="572"/>
      <c r="G35" s="37"/>
    </row>
  </sheetData>
  <sheetProtection objects="1"/>
  <mergeCells count="4">
    <mergeCell ref="C4:N4"/>
    <mergeCell ref="C3:N3"/>
    <mergeCell ref="C2:N2"/>
    <mergeCell ref="C1:N1"/>
  </mergeCells>
  <hyperlinks>
    <hyperlink ref="C35" location="'Reconciliation Non-GAAP'!A1" display="'Reconciliation Non-GAAP'!A1"/>
  </hyperlinks>
  <printOptions/>
  <pageMargins left="0.5" right="0.5" top="0.5" bottom="0.5" header="0.75" footer="0.25"/>
  <pageSetup horizontalDpi="600" verticalDpi="600" orientation="landscape" r:id="rId2"/>
  <headerFooter alignWithMargins="0">
    <oddFooter>&amp;L&amp;A&amp;R&amp;"Arial,Regular"&amp;8Page 13</oddFooter>
  </headerFooter>
  <drawing r:id="rId1"/>
</worksheet>
</file>

<file path=xl/worksheets/sheet16.xml><?xml version="1.0" encoding="utf-8"?>
<worksheet xmlns="http://schemas.openxmlformats.org/spreadsheetml/2006/main" xmlns:r="http://schemas.openxmlformats.org/officeDocument/2006/relationships">
  <sheetPr codeName="Sheet24"/>
  <dimension ref="C1:R28"/>
  <sheetViews>
    <sheetView workbookViewId="0" topLeftCell="A1">
      <selection activeCell="A5" sqref="A5"/>
    </sheetView>
  </sheetViews>
  <sheetFormatPr defaultColWidth="9.33203125" defaultRowHeight="12.75"/>
  <cols>
    <col min="1" max="2" width="3.33203125" style="1" customWidth="1"/>
    <col min="3" max="3" width="43.33203125" style="1" customWidth="1"/>
    <col min="4" max="4" width="8.83203125" style="1" customWidth="1"/>
    <col min="5" max="5" width="2.33203125" style="1" customWidth="1"/>
    <col min="6" max="6" width="8.83203125" style="1" customWidth="1"/>
    <col min="7" max="7" width="2.33203125" style="1" customWidth="1"/>
    <col min="8" max="8" width="8.83203125" style="1" customWidth="1"/>
    <col min="9" max="9" width="2.33203125" style="1" customWidth="1"/>
    <col min="10" max="10" width="8.83203125" style="1" customWidth="1"/>
    <col min="11" max="11" width="2.33203125" style="1" customWidth="1"/>
    <col min="12" max="12" width="8.83203125" style="24" customWidth="1"/>
    <col min="13" max="13" width="2.33203125" style="24" customWidth="1"/>
    <col min="14" max="14" width="9" style="24" customWidth="1"/>
    <col min="15" max="15" width="2.33203125" style="24" customWidth="1"/>
    <col min="16" max="16" width="8.83203125" style="24" customWidth="1"/>
    <col min="17" max="17" width="2.33203125" style="24" customWidth="1"/>
    <col min="18" max="18" width="8.83203125" style="1" customWidth="1"/>
    <col min="19" max="22" width="9" style="1" customWidth="1"/>
    <col min="23" max="37" width="9" style="0" customWidth="1"/>
    <col min="38" max="16384" width="9" style="1" customWidth="1"/>
  </cols>
  <sheetData>
    <row r="1" spans="3:18" ht="12.75">
      <c r="C1" s="619" t="s">
        <v>96</v>
      </c>
      <c r="D1" s="619"/>
      <c r="E1" s="619"/>
      <c r="F1" s="619"/>
      <c r="G1" s="619"/>
      <c r="H1" s="619"/>
      <c r="I1" s="619"/>
      <c r="J1" s="619"/>
      <c r="K1" s="619"/>
      <c r="L1" s="619"/>
      <c r="M1" s="619"/>
      <c r="N1" s="619"/>
      <c r="O1" s="619"/>
      <c r="P1" s="619"/>
      <c r="Q1" s="619"/>
      <c r="R1" s="619"/>
    </row>
    <row r="2" spans="3:18" ht="11.25" customHeight="1">
      <c r="C2" s="618" t="s">
        <v>82</v>
      </c>
      <c r="D2" s="618"/>
      <c r="E2" s="618"/>
      <c r="F2" s="618"/>
      <c r="G2" s="618"/>
      <c r="H2" s="618"/>
      <c r="I2" s="618"/>
      <c r="J2" s="618"/>
      <c r="K2" s="618"/>
      <c r="L2" s="618"/>
      <c r="M2" s="618"/>
      <c r="N2" s="618"/>
      <c r="O2" s="618"/>
      <c r="P2" s="618"/>
      <c r="Q2" s="618"/>
      <c r="R2" s="618"/>
    </row>
    <row r="3" spans="3:18" ht="11.25" customHeight="1">
      <c r="C3" s="617" t="s">
        <v>154</v>
      </c>
      <c r="D3" s="617"/>
      <c r="E3" s="617"/>
      <c r="F3" s="617"/>
      <c r="G3" s="617"/>
      <c r="H3" s="617"/>
      <c r="I3" s="617"/>
      <c r="J3" s="617"/>
      <c r="K3" s="617"/>
      <c r="L3" s="617"/>
      <c r="M3" s="617"/>
      <c r="N3" s="617"/>
      <c r="O3" s="617"/>
      <c r="P3" s="617"/>
      <c r="Q3" s="617"/>
      <c r="R3" s="617"/>
    </row>
    <row r="4" spans="3:18" ht="11.25" customHeight="1">
      <c r="C4" s="617" t="s">
        <v>170</v>
      </c>
      <c r="D4" s="617"/>
      <c r="E4" s="617"/>
      <c r="F4" s="617"/>
      <c r="G4" s="617"/>
      <c r="H4" s="617"/>
      <c r="I4" s="617"/>
      <c r="J4" s="617"/>
      <c r="K4" s="617"/>
      <c r="L4" s="617"/>
      <c r="M4" s="617"/>
      <c r="N4" s="617"/>
      <c r="O4" s="617"/>
      <c r="P4" s="617"/>
      <c r="Q4" s="617"/>
      <c r="R4" s="617"/>
    </row>
    <row r="5" spans="3:9" ht="11.25" customHeight="1">
      <c r="C5" s="539"/>
      <c r="E5" s="15"/>
      <c r="F5" s="15"/>
      <c r="G5" s="15"/>
      <c r="H5" s="15"/>
      <c r="I5" s="15"/>
    </row>
    <row r="6" spans="3:18" ht="12.75">
      <c r="C6" s="3" t="s">
        <v>344</v>
      </c>
      <c r="N6" s="22" t="s">
        <v>19</v>
      </c>
      <c r="O6" s="1"/>
      <c r="P6" s="22" t="s">
        <v>19</v>
      </c>
      <c r="R6" s="124"/>
    </row>
    <row r="7" spans="4:18" ht="11.25" customHeight="1">
      <c r="D7" s="4" t="s">
        <v>432</v>
      </c>
      <c r="E7" s="81"/>
      <c r="F7" s="4" t="s">
        <v>408</v>
      </c>
      <c r="G7" s="81"/>
      <c r="H7" s="4" t="s">
        <v>404</v>
      </c>
      <c r="I7" s="4"/>
      <c r="J7" s="4" t="s">
        <v>356</v>
      </c>
      <c r="K7" s="4"/>
      <c r="L7" s="4" t="s">
        <v>2</v>
      </c>
      <c r="M7" s="4"/>
      <c r="N7" s="23">
        <v>2006</v>
      </c>
      <c r="O7" s="4"/>
      <c r="P7" s="23">
        <v>2005</v>
      </c>
      <c r="Q7" s="4"/>
      <c r="R7" s="30"/>
    </row>
    <row r="8" spans="10:18" ht="13.5" customHeight="1">
      <c r="J8" s="170"/>
      <c r="L8" s="170"/>
      <c r="N8" s="1"/>
      <c r="P8" s="1"/>
      <c r="R8" s="124"/>
    </row>
    <row r="9" spans="3:18" ht="11.25" customHeight="1">
      <c r="C9" s="1" t="s">
        <v>131</v>
      </c>
      <c r="D9" s="255">
        <f>+'Segment  2006 Qtr'!O10</f>
        <v>78</v>
      </c>
      <c r="F9" s="255">
        <v>69</v>
      </c>
      <c r="G9" s="349"/>
      <c r="H9" s="255">
        <v>66</v>
      </c>
      <c r="I9" s="349"/>
      <c r="J9" s="255">
        <v>61</v>
      </c>
      <c r="K9" s="349"/>
      <c r="L9" s="255">
        <v>67</v>
      </c>
      <c r="M9" s="349"/>
      <c r="N9" s="33">
        <f aca="true" t="shared" si="0" ref="N9:N15">+F9+D9+H9+J9</f>
        <v>274</v>
      </c>
      <c r="O9" s="349"/>
      <c r="P9" s="33">
        <v>248</v>
      </c>
      <c r="Q9" s="349"/>
      <c r="R9" s="40"/>
    </row>
    <row r="10" spans="3:18" ht="11.25" customHeight="1">
      <c r="C10" s="1" t="s">
        <v>132</v>
      </c>
      <c r="D10" s="467">
        <f>+'Segment  2006 Qtr'!O11</f>
        <v>78</v>
      </c>
      <c r="F10" s="55">
        <v>69</v>
      </c>
      <c r="G10" s="55"/>
      <c r="H10" s="55">
        <v>66</v>
      </c>
      <c r="I10" s="55"/>
      <c r="J10" s="55">
        <v>61</v>
      </c>
      <c r="K10" s="55"/>
      <c r="L10" s="55">
        <v>67</v>
      </c>
      <c r="M10" s="55"/>
      <c r="N10" s="65">
        <f t="shared" si="0"/>
        <v>274</v>
      </c>
      <c r="O10" s="55"/>
      <c r="P10" s="65">
        <v>248</v>
      </c>
      <c r="Q10" s="55"/>
      <c r="R10" s="40"/>
    </row>
    <row r="11" spans="3:18" ht="11.25" customHeight="1">
      <c r="C11" s="1" t="s">
        <v>133</v>
      </c>
      <c r="D11" s="467">
        <f>+'Segment  2006 Qtr'!O12</f>
        <v>78</v>
      </c>
      <c r="F11" s="55">
        <v>69</v>
      </c>
      <c r="G11" s="55"/>
      <c r="H11" s="55">
        <v>66</v>
      </c>
      <c r="I11" s="55"/>
      <c r="J11" s="55">
        <v>61</v>
      </c>
      <c r="K11" s="55"/>
      <c r="L11" s="55">
        <v>67</v>
      </c>
      <c r="M11" s="55"/>
      <c r="N11" s="65">
        <f t="shared" si="0"/>
        <v>274</v>
      </c>
      <c r="O11" s="55"/>
      <c r="P11" s="65">
        <v>248</v>
      </c>
      <c r="Q11" s="55"/>
      <c r="R11" s="40"/>
    </row>
    <row r="12" spans="3:18" ht="11.25" customHeight="1">
      <c r="C12" s="16" t="s">
        <v>125</v>
      </c>
      <c r="D12" s="467">
        <f>+'Segment  2006 Qtr'!O14</f>
        <v>32</v>
      </c>
      <c r="E12" s="16"/>
      <c r="F12" s="55">
        <v>29</v>
      </c>
      <c r="G12" s="55"/>
      <c r="H12" s="55">
        <v>34</v>
      </c>
      <c r="I12" s="55"/>
      <c r="J12" s="55">
        <v>28</v>
      </c>
      <c r="K12" s="55"/>
      <c r="L12" s="55">
        <v>35</v>
      </c>
      <c r="M12" s="55"/>
      <c r="N12" s="65">
        <f t="shared" si="0"/>
        <v>123</v>
      </c>
      <c r="O12" s="55"/>
      <c r="P12" s="65">
        <v>143</v>
      </c>
      <c r="Q12" s="55"/>
      <c r="R12" s="40"/>
    </row>
    <row r="13" spans="3:18" ht="11.25" customHeight="1">
      <c r="C13" s="1" t="s">
        <v>136</v>
      </c>
      <c r="D13" s="467">
        <f>+'Segment  2006 Qtr'!O15</f>
        <v>9</v>
      </c>
      <c r="F13" s="55">
        <v>7</v>
      </c>
      <c r="G13" s="55"/>
      <c r="H13" s="55">
        <v>4</v>
      </c>
      <c r="I13" s="55"/>
      <c r="J13" s="55">
        <v>6</v>
      </c>
      <c r="K13" s="55"/>
      <c r="L13" s="55">
        <v>7</v>
      </c>
      <c r="M13" s="55"/>
      <c r="N13" s="65">
        <f t="shared" si="0"/>
        <v>26</v>
      </c>
      <c r="O13" s="55"/>
      <c r="P13" s="65">
        <v>24</v>
      </c>
      <c r="Q13" s="55"/>
      <c r="R13" s="40"/>
    </row>
    <row r="14" spans="3:18" ht="11.25" customHeight="1">
      <c r="C14" s="1" t="s">
        <v>134</v>
      </c>
      <c r="D14" s="467">
        <f>+'Segment  2006 Qtr'!O16</f>
        <v>12</v>
      </c>
      <c r="F14" s="55">
        <v>8</v>
      </c>
      <c r="G14" s="55"/>
      <c r="H14" s="55">
        <v>8</v>
      </c>
      <c r="I14" s="55"/>
      <c r="J14" s="55">
        <v>7</v>
      </c>
      <c r="K14" s="55"/>
      <c r="L14" s="55">
        <v>8</v>
      </c>
      <c r="M14" s="55"/>
      <c r="N14" s="65">
        <f t="shared" si="0"/>
        <v>35</v>
      </c>
      <c r="O14" s="55"/>
      <c r="P14" s="65">
        <v>19</v>
      </c>
      <c r="Q14" s="55"/>
      <c r="R14" s="40"/>
    </row>
    <row r="15" spans="3:18" ht="11.25" customHeight="1">
      <c r="C15" s="1" t="s">
        <v>128</v>
      </c>
      <c r="D15" s="55">
        <f>+'Segment  2006 Qtr'!O19</f>
        <v>12</v>
      </c>
      <c r="E15" s="81"/>
      <c r="F15" s="55">
        <v>11</v>
      </c>
      <c r="G15" s="55"/>
      <c r="H15" s="55">
        <v>9</v>
      </c>
      <c r="I15" s="256"/>
      <c r="J15" s="55">
        <v>10</v>
      </c>
      <c r="K15" s="256"/>
      <c r="L15" s="55">
        <v>7</v>
      </c>
      <c r="M15" s="256"/>
      <c r="N15" s="65">
        <f t="shared" si="0"/>
        <v>42</v>
      </c>
      <c r="O15" s="55"/>
      <c r="P15" s="65">
        <v>36</v>
      </c>
      <c r="Q15" s="65"/>
      <c r="R15" s="40"/>
    </row>
    <row r="16" spans="3:18" ht="12.75" customHeight="1">
      <c r="C16" s="1" t="s">
        <v>367</v>
      </c>
      <c r="D16" s="466">
        <f>+D11-D12-D13-D14+D15</f>
        <v>37</v>
      </c>
      <c r="F16" s="466">
        <f>+F11-F12-F13-F14+F15</f>
        <v>36</v>
      </c>
      <c r="G16" s="264"/>
      <c r="H16" s="264">
        <f>+H11-H12-H13-H14+H15</f>
        <v>29</v>
      </c>
      <c r="I16" s="349"/>
      <c r="J16" s="264">
        <f>+J11-J12-J13-J14+J15</f>
        <v>30</v>
      </c>
      <c r="K16" s="349"/>
      <c r="L16" s="264">
        <f>+L11-L12-L13-L14+L15</f>
        <v>24</v>
      </c>
      <c r="M16" s="349"/>
      <c r="N16" s="264">
        <f>+N11-N12-N13-N14+N15</f>
        <v>132</v>
      </c>
      <c r="O16" s="264"/>
      <c r="P16" s="264">
        <f>+P11-P12-P13-P14+P15</f>
        <v>98</v>
      </c>
      <c r="Q16" s="264"/>
      <c r="R16" s="349"/>
    </row>
    <row r="17" spans="4:18" ht="6" customHeight="1">
      <c r="D17" s="467"/>
      <c r="F17" s="467"/>
      <c r="G17" s="349"/>
      <c r="H17" s="349"/>
      <c r="I17" s="349"/>
      <c r="J17" s="349"/>
      <c r="K17" s="349"/>
      <c r="L17" s="349"/>
      <c r="M17" s="349"/>
      <c r="N17" s="349"/>
      <c r="O17" s="349"/>
      <c r="P17" s="349"/>
      <c r="Q17" s="349"/>
      <c r="R17" s="349"/>
    </row>
    <row r="18" spans="3:18" ht="11.25" customHeight="1">
      <c r="C18" s="177" t="s">
        <v>173</v>
      </c>
      <c r="D18" s="55">
        <f>+'Segment  2006 Qtr'!O26</f>
        <v>-13</v>
      </c>
      <c r="E18" s="177"/>
      <c r="F18" s="55">
        <v>-14</v>
      </c>
      <c r="G18" s="177"/>
      <c r="H18" s="55">
        <v>-1</v>
      </c>
      <c r="I18" s="206"/>
      <c r="J18" s="206">
        <v>-8</v>
      </c>
      <c r="K18" s="206"/>
      <c r="L18" s="206">
        <v>3</v>
      </c>
      <c r="M18" s="206"/>
      <c r="N18" s="65">
        <f>+F18+D18+H18+J18</f>
        <v>-36</v>
      </c>
      <c r="O18" s="55"/>
      <c r="P18" s="55">
        <v>19</v>
      </c>
      <c r="Q18" s="55"/>
      <c r="R18" s="40"/>
    </row>
    <row r="19" spans="3:18" ht="11.25" customHeight="1">
      <c r="C19" s="1" t="s">
        <v>158</v>
      </c>
      <c r="D19" s="256">
        <f>+'Segment  2006 Qtr'!O23</f>
        <v>-5</v>
      </c>
      <c r="E19" s="81"/>
      <c r="F19" s="256">
        <v>0</v>
      </c>
      <c r="G19" s="81"/>
      <c r="H19" s="256">
        <v>0</v>
      </c>
      <c r="I19" s="232"/>
      <c r="J19" s="256">
        <v>-1</v>
      </c>
      <c r="K19" s="232"/>
      <c r="L19" s="256">
        <v>0</v>
      </c>
      <c r="M19" s="232"/>
      <c r="N19" s="256">
        <f>+F19+D19+H19+J19</f>
        <v>-6</v>
      </c>
      <c r="O19" s="256"/>
      <c r="P19" s="256">
        <v>-2</v>
      </c>
      <c r="Q19" s="256"/>
      <c r="R19" s="40"/>
    </row>
    <row r="20" spans="3:18" ht="11.25" customHeight="1">
      <c r="C20" s="176" t="s">
        <v>7</v>
      </c>
      <c r="D20" s="470">
        <f>+D16+D18-D19</f>
        <v>29</v>
      </c>
      <c r="E20" s="176"/>
      <c r="F20" s="470">
        <f>+F16+F18-F19</f>
        <v>22</v>
      </c>
      <c r="G20" s="176"/>
      <c r="H20" s="470">
        <f>+H16+H18-H19</f>
        <v>28</v>
      </c>
      <c r="I20" s="365"/>
      <c r="J20" s="470">
        <f>+J16+J18-J19</f>
        <v>23</v>
      </c>
      <c r="K20" s="365"/>
      <c r="L20" s="470">
        <f>+L16+L18-L19</f>
        <v>27</v>
      </c>
      <c r="M20" s="365"/>
      <c r="N20" s="470">
        <f>+N16+N18-N19</f>
        <v>102</v>
      </c>
      <c r="O20" s="470"/>
      <c r="P20" s="470">
        <f>+P16+P18-P19</f>
        <v>119</v>
      </c>
      <c r="Q20" s="470"/>
      <c r="R20" s="470"/>
    </row>
    <row r="21" spans="3:18" ht="6.75" customHeight="1">
      <c r="C21" s="176"/>
      <c r="D21" s="372"/>
      <c r="E21" s="176"/>
      <c r="F21" s="372"/>
      <c r="G21" s="176"/>
      <c r="H21" s="372"/>
      <c r="I21" s="369"/>
      <c r="J21" s="369"/>
      <c r="K21" s="369"/>
      <c r="L21" s="369"/>
      <c r="M21" s="369"/>
      <c r="N21" s="44"/>
      <c r="O21" s="369"/>
      <c r="P21" s="44"/>
      <c r="Q21" s="369"/>
      <c r="R21" s="384"/>
    </row>
    <row r="22" spans="3:18" ht="11.25" customHeight="1">
      <c r="C22" s="177" t="s">
        <v>173</v>
      </c>
      <c r="D22" s="55">
        <f>+'Segment  2006 Qtr'!O26</f>
        <v>-13</v>
      </c>
      <c r="E22" s="177"/>
      <c r="F22" s="55">
        <v>-14</v>
      </c>
      <c r="G22" s="177"/>
      <c r="H22" s="55">
        <v>-1</v>
      </c>
      <c r="I22" s="206"/>
      <c r="J22" s="206">
        <v>-8</v>
      </c>
      <c r="K22" s="206"/>
      <c r="L22" s="206">
        <v>3</v>
      </c>
      <c r="M22" s="206"/>
      <c r="N22" s="65">
        <f>+F22+D22+H22+J22</f>
        <v>-36</v>
      </c>
      <c r="O22" s="55"/>
      <c r="P22" s="55">
        <v>19</v>
      </c>
      <c r="Q22" s="206"/>
      <c r="R22" s="40"/>
    </row>
    <row r="23" spans="3:18" ht="11.25" customHeight="1">
      <c r="C23" s="177" t="s">
        <v>266</v>
      </c>
      <c r="D23" s="256">
        <f>+'Segment  2006 Qtr'!O27</f>
        <v>0</v>
      </c>
      <c r="E23" s="177"/>
      <c r="F23" s="256">
        <v>0</v>
      </c>
      <c r="G23" s="177"/>
      <c r="H23" s="256">
        <v>0</v>
      </c>
      <c r="I23" s="206"/>
      <c r="J23" s="206">
        <v>0</v>
      </c>
      <c r="K23" s="206"/>
      <c r="L23" s="206">
        <v>0</v>
      </c>
      <c r="M23" s="206"/>
      <c r="N23" s="65">
        <f>+F23+D23+H23+J23</f>
        <v>0</v>
      </c>
      <c r="O23" s="55"/>
      <c r="P23" s="256">
        <v>0</v>
      </c>
      <c r="Q23" s="206"/>
      <c r="R23" s="40"/>
    </row>
    <row r="24" spans="3:18" ht="15.75" customHeight="1" thickBot="1">
      <c r="C24" s="205" t="s">
        <v>366</v>
      </c>
      <c r="D24" s="471">
        <f>+D20-D22+D23</f>
        <v>42</v>
      </c>
      <c r="E24" s="485"/>
      <c r="F24" s="471">
        <f>+F20-F22+F23</f>
        <v>36</v>
      </c>
      <c r="G24" s="485"/>
      <c r="H24" s="471">
        <f>+H20-H22+H23</f>
        <v>29</v>
      </c>
      <c r="I24" s="198"/>
      <c r="J24" s="471">
        <f>+J20-J22+J23</f>
        <v>31</v>
      </c>
      <c r="K24" s="198"/>
      <c r="L24" s="471">
        <f>+L20-L22+L23</f>
        <v>24</v>
      </c>
      <c r="M24" s="198"/>
      <c r="N24" s="471">
        <f>+N20-N22+N23</f>
        <v>138</v>
      </c>
      <c r="O24" s="198"/>
      <c r="P24" s="471">
        <f>+P20-P22+P23</f>
        <v>100</v>
      </c>
      <c r="Q24" s="198"/>
      <c r="R24" s="511"/>
    </row>
    <row r="25" spans="3:18" ht="11.25" customHeight="1" thickTop="1">
      <c r="C25" s="176"/>
      <c r="D25" s="218"/>
      <c r="E25" s="176"/>
      <c r="F25" s="218"/>
      <c r="G25" s="176"/>
      <c r="H25" s="218"/>
      <c r="I25" s="219"/>
      <c r="J25" s="219"/>
      <c r="K25" s="219"/>
      <c r="L25" s="219"/>
      <c r="M25" s="219"/>
      <c r="N25" s="219"/>
      <c r="O25" s="219"/>
      <c r="P25" s="219"/>
      <c r="Q25" s="219"/>
      <c r="R25" s="44"/>
    </row>
    <row r="27" ht="12.75">
      <c r="C27" s="489" t="s">
        <v>365</v>
      </c>
    </row>
    <row r="28" spans="3:5" ht="12.75">
      <c r="C28" s="571" t="s">
        <v>543</v>
      </c>
      <c r="D28" s="44"/>
      <c r="E28" s="44"/>
    </row>
  </sheetData>
  <sheetProtection objects="1"/>
  <mergeCells count="4">
    <mergeCell ref="C1:R1"/>
    <mergeCell ref="C2:R2"/>
    <mergeCell ref="C3:R3"/>
    <mergeCell ref="C4:R4"/>
  </mergeCells>
  <hyperlinks>
    <hyperlink ref="C28" location="'Reconciliation Non-GAAP'!A1" display="'Reconciliation Non-GAAP'!A1"/>
  </hyperlinks>
  <printOptions/>
  <pageMargins left="0.5" right="0.5" top="0.5" bottom="0.5" header="0.75" footer="0.25"/>
  <pageSetup horizontalDpi="600" verticalDpi="600" orientation="landscape" r:id="rId2"/>
  <headerFooter alignWithMargins="0">
    <oddFooter>&amp;L&amp;A&amp;R&amp;"Arial,Regular"&amp;8Page 14</oddFooter>
  </headerFooter>
  <colBreaks count="1" manualBreakCount="1">
    <brk id="18" max="27" man="1"/>
  </colBreaks>
  <drawing r:id="rId1"/>
</worksheet>
</file>

<file path=xl/worksheets/sheet17.xml><?xml version="1.0" encoding="utf-8"?>
<worksheet xmlns="http://schemas.openxmlformats.org/spreadsheetml/2006/main" xmlns:r="http://schemas.openxmlformats.org/officeDocument/2006/relationships">
  <sheetPr codeName="Sheet25">
    <pageSetUpPr fitToPage="1"/>
  </sheetPr>
  <dimension ref="B1:R77"/>
  <sheetViews>
    <sheetView workbookViewId="0" topLeftCell="A1">
      <selection activeCell="A6" sqref="A6"/>
    </sheetView>
  </sheetViews>
  <sheetFormatPr defaultColWidth="9.33203125" defaultRowHeight="12.75"/>
  <cols>
    <col min="1" max="1" width="3.33203125" style="1" customWidth="1"/>
    <col min="2" max="2" width="32.66015625" style="1" customWidth="1"/>
    <col min="3" max="5" width="10.83203125" style="1" customWidth="1"/>
    <col min="6" max="6" width="2.33203125" style="1" customWidth="1"/>
    <col min="7" max="9" width="10.83203125" style="1" customWidth="1"/>
    <col min="10" max="10" width="2.33203125" style="1" customWidth="1"/>
    <col min="11" max="13" width="10.83203125" style="1" customWidth="1"/>
    <col min="14" max="14" width="1.0078125" style="1" customWidth="1"/>
    <col min="15" max="15" width="14.5" style="1" customWidth="1"/>
    <col min="16" max="16" width="10.5" style="1" customWidth="1"/>
    <col min="17" max="16384" width="9" style="1" customWidth="1"/>
  </cols>
  <sheetData>
    <row r="1" spans="2:13" ht="14.25" customHeight="1">
      <c r="B1" s="619" t="s">
        <v>96</v>
      </c>
      <c r="C1" s="619"/>
      <c r="D1" s="619"/>
      <c r="E1" s="619"/>
      <c r="F1" s="619"/>
      <c r="G1" s="619"/>
      <c r="H1" s="619"/>
      <c r="I1" s="619"/>
      <c r="J1" s="619"/>
      <c r="K1" s="619"/>
      <c r="L1" s="619"/>
      <c r="M1" s="619"/>
    </row>
    <row r="2" spans="2:13" ht="12">
      <c r="B2" s="627" t="s">
        <v>199</v>
      </c>
      <c r="C2" s="627"/>
      <c r="D2" s="627"/>
      <c r="E2" s="627"/>
      <c r="F2" s="627"/>
      <c r="G2" s="627"/>
      <c r="H2" s="627"/>
      <c r="I2" s="627"/>
      <c r="J2" s="627"/>
      <c r="K2" s="627"/>
      <c r="L2" s="627"/>
      <c r="M2" s="627"/>
    </row>
    <row r="3" spans="2:13" ht="10.5" customHeight="1">
      <c r="B3" s="617" t="s">
        <v>154</v>
      </c>
      <c r="C3" s="617"/>
      <c r="D3" s="617"/>
      <c r="E3" s="617"/>
      <c r="F3" s="617"/>
      <c r="G3" s="617"/>
      <c r="H3" s="617"/>
      <c r="I3" s="617"/>
      <c r="J3" s="617"/>
      <c r="K3" s="617"/>
      <c r="L3" s="617"/>
      <c r="M3" s="617"/>
    </row>
    <row r="4" spans="2:13" ht="14.25" customHeight="1">
      <c r="B4" s="617" t="s">
        <v>170</v>
      </c>
      <c r="C4" s="617"/>
      <c r="D4" s="617"/>
      <c r="E4" s="617"/>
      <c r="F4" s="617"/>
      <c r="G4" s="617"/>
      <c r="H4" s="617"/>
      <c r="I4" s="617"/>
      <c r="J4" s="617"/>
      <c r="K4" s="617"/>
      <c r="L4" s="617"/>
      <c r="M4" s="617"/>
    </row>
    <row r="5" ht="6" customHeight="1">
      <c r="F5"/>
    </row>
    <row r="6" spans="2:13" ht="12.75">
      <c r="B6" s="539"/>
      <c r="C6" s="81"/>
      <c r="D6" s="4" t="s">
        <v>124</v>
      </c>
      <c r="E6" s="81"/>
      <c r="F6"/>
      <c r="G6" s="81"/>
      <c r="H6" s="84" t="s">
        <v>83</v>
      </c>
      <c r="I6" s="81"/>
      <c r="J6"/>
      <c r="K6" s="81"/>
      <c r="L6" s="4" t="s">
        <v>54</v>
      </c>
      <c r="M6" s="81"/>
    </row>
    <row r="7" spans="2:13" ht="12.75">
      <c r="B7" s="85"/>
      <c r="C7" s="628" t="s">
        <v>167</v>
      </c>
      <c r="D7" s="629"/>
      <c r="E7" s="629"/>
      <c r="F7"/>
      <c r="G7" s="628" t="s">
        <v>167</v>
      </c>
      <c r="H7" s="629"/>
      <c r="I7" s="629"/>
      <c r="J7"/>
      <c r="K7" s="628" t="s">
        <v>167</v>
      </c>
      <c r="L7" s="629"/>
      <c r="M7" s="629"/>
    </row>
    <row r="8" spans="2:13" ht="12.75">
      <c r="B8" s="7"/>
      <c r="C8" s="4" t="s">
        <v>155</v>
      </c>
      <c r="D8" s="4" t="s">
        <v>53</v>
      </c>
      <c r="E8" s="4" t="s">
        <v>93</v>
      </c>
      <c r="F8"/>
      <c r="G8" s="4" t="s">
        <v>155</v>
      </c>
      <c r="H8" s="4" t="s">
        <v>53</v>
      </c>
      <c r="I8" s="4" t="s">
        <v>93</v>
      </c>
      <c r="J8"/>
      <c r="K8" s="4" t="s">
        <v>155</v>
      </c>
      <c r="L8" s="4" t="s">
        <v>53</v>
      </c>
      <c r="M8" s="4" t="s">
        <v>93</v>
      </c>
    </row>
    <row r="9" spans="2:18" ht="5.25" customHeight="1">
      <c r="B9" s="7"/>
      <c r="C9" s="170"/>
      <c r="D9" s="170"/>
      <c r="E9" s="170"/>
      <c r="F9"/>
      <c r="G9" s="170"/>
      <c r="H9" s="170"/>
      <c r="I9" s="170"/>
      <c r="J9"/>
      <c r="K9" s="5"/>
      <c r="L9" s="5"/>
      <c r="M9" s="5"/>
      <c r="P9" s="9"/>
      <c r="Q9" s="9"/>
      <c r="R9" s="9"/>
    </row>
    <row r="10" spans="2:13" ht="11.25" customHeight="1">
      <c r="B10" s="74" t="s">
        <v>274</v>
      </c>
      <c r="C10" s="36">
        <v>31483</v>
      </c>
      <c r="D10" s="36">
        <v>13966</v>
      </c>
      <c r="E10" s="36">
        <v>17517</v>
      </c>
      <c r="F10" s="423"/>
      <c r="G10" s="36">
        <v>23201</v>
      </c>
      <c r="H10" s="36">
        <v>8427</v>
      </c>
      <c r="I10" s="36">
        <v>14774</v>
      </c>
      <c r="J10" s="423"/>
      <c r="K10" s="36">
        <v>8282</v>
      </c>
      <c r="L10" s="36">
        <v>5539</v>
      </c>
      <c r="M10" s="36">
        <v>2743</v>
      </c>
    </row>
    <row r="11" spans="2:13" ht="5.25" customHeight="1">
      <c r="B11" s="74"/>
      <c r="C11" s="335"/>
      <c r="D11" s="335"/>
      <c r="E11" s="335"/>
      <c r="F11" s="263"/>
      <c r="G11" s="335"/>
      <c r="H11" s="335"/>
      <c r="I11" s="335"/>
      <c r="J11" s="263"/>
      <c r="K11" s="462"/>
      <c r="L11" s="462"/>
      <c r="M11" s="462"/>
    </row>
    <row r="12" spans="2:13" ht="11.25" customHeight="1">
      <c r="B12" s="77" t="s">
        <v>333</v>
      </c>
      <c r="C12" s="40">
        <v>2536</v>
      </c>
      <c r="D12" s="40">
        <v>747</v>
      </c>
      <c r="E12" s="40">
        <f>+C12-D12</f>
        <v>1789</v>
      </c>
      <c r="F12" s="398"/>
      <c r="G12" s="41">
        <f aca="true" t="shared" si="0" ref="G12:H14">+C12-K12</f>
        <v>2492</v>
      </c>
      <c r="H12" s="41">
        <f t="shared" si="0"/>
        <v>725</v>
      </c>
      <c r="I12" s="40">
        <f>+G12-H12</f>
        <v>1767</v>
      </c>
      <c r="J12" s="398"/>
      <c r="K12" s="41">
        <v>44</v>
      </c>
      <c r="L12" s="41">
        <v>22</v>
      </c>
      <c r="M12" s="41">
        <f>+K12-L12</f>
        <v>22</v>
      </c>
    </row>
    <row r="13" spans="2:13" ht="11.25" customHeight="1">
      <c r="B13" s="77" t="s">
        <v>334</v>
      </c>
      <c r="C13" s="40">
        <v>-1998</v>
      </c>
      <c r="D13" s="40">
        <v>-763</v>
      </c>
      <c r="E13" s="40">
        <f>+C13-D13</f>
        <v>-1235</v>
      </c>
      <c r="F13" s="398"/>
      <c r="G13" s="41">
        <f t="shared" si="0"/>
        <v>-1817</v>
      </c>
      <c r="H13" s="41">
        <f t="shared" si="0"/>
        <v>-661</v>
      </c>
      <c r="I13" s="40">
        <f>+G13-H13</f>
        <v>-1156</v>
      </c>
      <c r="J13" s="398"/>
      <c r="K13" s="41">
        <v>-181</v>
      </c>
      <c r="L13" s="41">
        <v>-102</v>
      </c>
      <c r="M13" s="41">
        <f>+K13-L13</f>
        <v>-79</v>
      </c>
    </row>
    <row r="14" spans="2:13" ht="12.75" customHeight="1">
      <c r="B14" s="77" t="s">
        <v>332</v>
      </c>
      <c r="C14" s="87">
        <v>-595</v>
      </c>
      <c r="D14" s="87">
        <f>-596+1</f>
        <v>-595</v>
      </c>
      <c r="E14" s="40">
        <f>+C14-D14</f>
        <v>0</v>
      </c>
      <c r="F14" s="263"/>
      <c r="G14" s="41">
        <f t="shared" si="0"/>
        <v>-669</v>
      </c>
      <c r="H14" s="41">
        <f t="shared" si="0"/>
        <v>-670</v>
      </c>
      <c r="I14" s="40">
        <f>+G14-H14</f>
        <v>1</v>
      </c>
      <c r="J14" s="263"/>
      <c r="K14" s="444">
        <v>74</v>
      </c>
      <c r="L14" s="444">
        <v>75</v>
      </c>
      <c r="M14" s="41">
        <f>+K14-L14</f>
        <v>-1</v>
      </c>
    </row>
    <row r="15" spans="2:13" s="15" customFormat="1" ht="11.25" customHeight="1">
      <c r="B15" s="74" t="s">
        <v>281</v>
      </c>
      <c r="C15" s="283">
        <f>SUM(C10:C14)</f>
        <v>31426</v>
      </c>
      <c r="D15" s="283">
        <f>SUM(D10:D14)</f>
        <v>13355</v>
      </c>
      <c r="E15" s="283">
        <f>SUM(E10:E14)</f>
        <v>18071</v>
      </c>
      <c r="F15" s="263"/>
      <c r="G15" s="283">
        <f>SUM(G10:G14)</f>
        <v>23207</v>
      </c>
      <c r="H15" s="283">
        <f>SUM(H10:H14)</f>
        <v>7821</v>
      </c>
      <c r="I15" s="283">
        <f>SUM(I10:I14)</f>
        <v>15386</v>
      </c>
      <c r="J15" s="263"/>
      <c r="K15" s="460">
        <f>SUM(K10:K14)</f>
        <v>8219</v>
      </c>
      <c r="L15" s="460">
        <f>SUM(L10:L14)</f>
        <v>5534</v>
      </c>
      <c r="M15" s="460">
        <f>SUM(M10:M14)</f>
        <v>2685</v>
      </c>
    </row>
    <row r="16" spans="2:13" ht="5.25" customHeight="1">
      <c r="B16" s="74"/>
      <c r="C16" s="36"/>
      <c r="D16" s="36"/>
      <c r="E16" s="36"/>
      <c r="F16" s="263"/>
      <c r="G16" s="36"/>
      <c r="H16" s="36"/>
      <c r="I16" s="36"/>
      <c r="J16" s="263"/>
      <c r="K16" s="461"/>
      <c r="L16" s="461"/>
      <c r="M16" s="461"/>
    </row>
    <row r="17" spans="2:13" ht="12.75">
      <c r="B17" s="86" t="s">
        <v>94</v>
      </c>
      <c r="C17" s="40">
        <v>2811</v>
      </c>
      <c r="D17" s="40">
        <v>968</v>
      </c>
      <c r="E17" s="40">
        <f>+C17-D17</f>
        <v>1843</v>
      </c>
      <c r="F17" s="263"/>
      <c r="G17" s="41">
        <f aca="true" t="shared" si="1" ref="G17:H19">+C17-K17</f>
        <v>2791</v>
      </c>
      <c r="H17" s="41">
        <f t="shared" si="1"/>
        <v>957</v>
      </c>
      <c r="I17" s="40">
        <f>+G17-H17</f>
        <v>1834</v>
      </c>
      <c r="J17" s="263"/>
      <c r="K17" s="41">
        <v>20</v>
      </c>
      <c r="L17" s="41">
        <v>11</v>
      </c>
      <c r="M17" s="41">
        <f>+K17-L17</f>
        <v>9</v>
      </c>
    </row>
    <row r="18" spans="2:13" ht="12.75">
      <c r="B18" s="86" t="s">
        <v>95</v>
      </c>
      <c r="C18" s="40">
        <v>-1919</v>
      </c>
      <c r="D18" s="40">
        <v>-752</v>
      </c>
      <c r="E18" s="40">
        <f>+C18-D18</f>
        <v>-1167</v>
      </c>
      <c r="F18" s="263"/>
      <c r="G18" s="41">
        <f t="shared" si="1"/>
        <v>-1711</v>
      </c>
      <c r="H18" s="41">
        <f t="shared" si="1"/>
        <v>-567</v>
      </c>
      <c r="I18" s="40">
        <f>+G18-H18</f>
        <v>-1144</v>
      </c>
      <c r="J18" s="263"/>
      <c r="K18" s="41">
        <v>-208</v>
      </c>
      <c r="L18" s="41">
        <v>-185</v>
      </c>
      <c r="M18" s="41">
        <f>+K18-L18</f>
        <v>-23</v>
      </c>
    </row>
    <row r="19" spans="2:13" ht="12.75" customHeight="1">
      <c r="B19" s="77" t="s">
        <v>332</v>
      </c>
      <c r="C19" s="87">
        <v>-217</v>
      </c>
      <c r="D19" s="87">
        <v>-71</v>
      </c>
      <c r="E19" s="40">
        <f>+C19-D19</f>
        <v>-146</v>
      </c>
      <c r="F19" s="263"/>
      <c r="G19" s="41">
        <f t="shared" si="1"/>
        <v>-190</v>
      </c>
      <c r="H19" s="41">
        <f t="shared" si="1"/>
        <v>-71</v>
      </c>
      <c r="I19" s="40">
        <f>+G19-H19</f>
        <v>-119</v>
      </c>
      <c r="J19" s="263"/>
      <c r="K19" s="444">
        <v>-27</v>
      </c>
      <c r="L19" s="444">
        <v>0</v>
      </c>
      <c r="M19" s="41">
        <f>+K19-L19</f>
        <v>-27</v>
      </c>
    </row>
    <row r="20" spans="2:13" s="15" customFormat="1" ht="11.25" customHeight="1">
      <c r="B20" s="74" t="s">
        <v>311</v>
      </c>
      <c r="C20" s="283">
        <f>SUM(C15:C19)</f>
        <v>32101</v>
      </c>
      <c r="D20" s="283">
        <f>SUM(D15:D19)</f>
        <v>13500</v>
      </c>
      <c r="E20" s="283">
        <f>SUM(E15:E19)</f>
        <v>18601</v>
      </c>
      <c r="F20" s="263"/>
      <c r="G20" s="283">
        <f>SUM(G15:G19)</f>
        <v>24097</v>
      </c>
      <c r="H20" s="283">
        <f>SUM(H15:H19)</f>
        <v>8140</v>
      </c>
      <c r="I20" s="283">
        <f>SUM(I15:I19)</f>
        <v>15957</v>
      </c>
      <c r="J20" s="263"/>
      <c r="K20" s="460">
        <f>SUM(K15:K19)</f>
        <v>8004</v>
      </c>
      <c r="L20" s="460">
        <f>SUM(L15:L19)</f>
        <v>5360</v>
      </c>
      <c r="M20" s="460">
        <f>SUM(M15:M19)</f>
        <v>2644</v>
      </c>
    </row>
    <row r="21" spans="2:13" ht="5.25" customHeight="1">
      <c r="B21" s="74"/>
      <c r="C21" s="36"/>
      <c r="D21" s="36"/>
      <c r="E21" s="36"/>
      <c r="F21" s="263"/>
      <c r="G21" s="36"/>
      <c r="H21" s="36"/>
      <c r="I21" s="36"/>
      <c r="J21" s="263"/>
      <c r="K21" s="461"/>
      <c r="L21" s="461"/>
      <c r="M21" s="461"/>
    </row>
    <row r="22" spans="2:13" ht="12.75">
      <c r="B22" s="86" t="s">
        <v>94</v>
      </c>
      <c r="C22" s="40">
        <v>5016</v>
      </c>
      <c r="D22" s="40">
        <v>2212</v>
      </c>
      <c r="E22" s="40">
        <f>+C22-D22</f>
        <v>2804</v>
      </c>
      <c r="F22" s="263"/>
      <c r="G22" s="41">
        <f aca="true" t="shared" si="2" ref="G22:H24">+C22-K22</f>
        <v>4942</v>
      </c>
      <c r="H22" s="41">
        <f t="shared" si="2"/>
        <v>2194</v>
      </c>
      <c r="I22" s="40">
        <f>+G22-H22</f>
        <v>2748</v>
      </c>
      <c r="J22" s="263"/>
      <c r="K22" s="41">
        <v>74</v>
      </c>
      <c r="L22" s="41">
        <v>18</v>
      </c>
      <c r="M22" s="41">
        <f>+K22-L22</f>
        <v>56</v>
      </c>
    </row>
    <row r="23" spans="2:13" ht="12.75">
      <c r="B23" s="86" t="s">
        <v>95</v>
      </c>
      <c r="C23" s="40">
        <v>-2342</v>
      </c>
      <c r="D23" s="40">
        <v>-892</v>
      </c>
      <c r="E23" s="40">
        <f>+C23-D23</f>
        <v>-1450</v>
      </c>
      <c r="F23" s="263"/>
      <c r="G23" s="41">
        <f t="shared" si="2"/>
        <v>-2187</v>
      </c>
      <c r="H23" s="41">
        <f t="shared" si="2"/>
        <v>-799</v>
      </c>
      <c r="I23" s="40">
        <f>+G23-H23</f>
        <v>-1388</v>
      </c>
      <c r="J23" s="263"/>
      <c r="K23" s="41">
        <v>-155</v>
      </c>
      <c r="L23" s="41">
        <v>-93</v>
      </c>
      <c r="M23" s="41">
        <f>+K23-L23</f>
        <v>-62</v>
      </c>
    </row>
    <row r="24" spans="2:13" ht="12.75">
      <c r="B24" s="77" t="s">
        <v>332</v>
      </c>
      <c r="C24" s="40">
        <v>-101</v>
      </c>
      <c r="D24" s="40">
        <v>-55</v>
      </c>
      <c r="E24" s="40">
        <f>+C24-D24</f>
        <v>-46</v>
      </c>
      <c r="F24" s="263"/>
      <c r="G24" s="41">
        <f t="shared" si="2"/>
        <v>-101</v>
      </c>
      <c r="H24" s="41">
        <f t="shared" si="2"/>
        <v>-54</v>
      </c>
      <c r="I24" s="40">
        <f>+G24-H24</f>
        <v>-47</v>
      </c>
      <c r="J24" s="263"/>
      <c r="K24" s="41">
        <v>0</v>
      </c>
      <c r="L24" s="41">
        <v>-1</v>
      </c>
      <c r="M24" s="41">
        <f>+K24-L24</f>
        <v>1</v>
      </c>
    </row>
    <row r="25" spans="2:13" s="15" customFormat="1" ht="11.25" customHeight="1">
      <c r="B25" s="74" t="s">
        <v>324</v>
      </c>
      <c r="C25" s="283">
        <f>SUM(C20:C24)</f>
        <v>34674</v>
      </c>
      <c r="D25" s="283">
        <f>SUM(D20:D24)</f>
        <v>14765</v>
      </c>
      <c r="E25" s="283">
        <f>SUM(E20:E24)</f>
        <v>19909</v>
      </c>
      <c r="F25" s="263"/>
      <c r="G25" s="283">
        <f>SUM(G20:G24)</f>
        <v>26751</v>
      </c>
      <c r="H25" s="283">
        <f>SUM(H20:H24)</f>
        <v>9481</v>
      </c>
      <c r="I25" s="283">
        <f>SUM(I20:I24)</f>
        <v>17270</v>
      </c>
      <c r="J25" s="263"/>
      <c r="K25" s="460">
        <f>SUM(K20:K24)</f>
        <v>7923</v>
      </c>
      <c r="L25" s="460">
        <f>SUM(L20:L24)</f>
        <v>5284</v>
      </c>
      <c r="M25" s="460">
        <f>SUM(M20:M24)</f>
        <v>2639</v>
      </c>
    </row>
    <row r="26" spans="2:13" ht="5.25" customHeight="1">
      <c r="B26" s="74"/>
      <c r="C26" s="36"/>
      <c r="D26" s="36"/>
      <c r="E26" s="36"/>
      <c r="F26" s="263"/>
      <c r="G26" s="36"/>
      <c r="H26" s="36"/>
      <c r="I26" s="36"/>
      <c r="J26" s="263"/>
      <c r="K26" s="461"/>
      <c r="L26" s="461"/>
      <c r="M26" s="461"/>
    </row>
    <row r="27" spans="2:13" ht="12.75">
      <c r="B27" s="86" t="s">
        <v>94</v>
      </c>
      <c r="C27" s="40">
        <v>2956</v>
      </c>
      <c r="D27" s="40">
        <v>821</v>
      </c>
      <c r="E27" s="40">
        <f>+C27-D27</f>
        <v>2135</v>
      </c>
      <c r="F27" s="263"/>
      <c r="G27" s="41">
        <f aca="true" t="shared" si="3" ref="G27:H29">+C27-K27</f>
        <v>2804</v>
      </c>
      <c r="H27" s="41">
        <f t="shared" si="3"/>
        <v>705</v>
      </c>
      <c r="I27" s="40">
        <f>+G27-H27</f>
        <v>2099</v>
      </c>
      <c r="J27" s="263"/>
      <c r="K27" s="41">
        <v>152</v>
      </c>
      <c r="L27" s="41">
        <v>116</v>
      </c>
      <c r="M27" s="41">
        <f>+K27-L27</f>
        <v>36</v>
      </c>
    </row>
    <row r="28" spans="2:13" ht="12.75">
      <c r="B28" s="86" t="s">
        <v>95</v>
      </c>
      <c r="C28" s="40">
        <v>-2485</v>
      </c>
      <c r="D28" s="40">
        <v>-969</v>
      </c>
      <c r="E28" s="40">
        <f>+C28-D28</f>
        <v>-1516</v>
      </c>
      <c r="F28" s="263"/>
      <c r="G28" s="41">
        <f t="shared" si="3"/>
        <v>-2291</v>
      </c>
      <c r="H28" s="41">
        <f t="shared" si="3"/>
        <v>-897</v>
      </c>
      <c r="I28" s="40">
        <f>+G28-H28</f>
        <v>-1394</v>
      </c>
      <c r="J28" s="263"/>
      <c r="K28" s="41">
        <v>-194</v>
      </c>
      <c r="L28" s="41">
        <v>-72</v>
      </c>
      <c r="M28" s="41">
        <f>+K28-L28</f>
        <v>-122</v>
      </c>
    </row>
    <row r="29" spans="2:13" ht="12.75">
      <c r="B29" s="77" t="s">
        <v>332</v>
      </c>
      <c r="C29" s="40">
        <f>-90</f>
        <v>-90</v>
      </c>
      <c r="D29" s="40">
        <v>-20</v>
      </c>
      <c r="E29" s="40">
        <f>+C29-D29</f>
        <v>-70</v>
      </c>
      <c r="F29" s="263"/>
      <c r="G29" s="41">
        <f t="shared" si="3"/>
        <v>-90</v>
      </c>
      <c r="H29" s="41">
        <f t="shared" si="3"/>
        <v>-20</v>
      </c>
      <c r="I29" s="40">
        <f>+G29-H29</f>
        <v>-70</v>
      </c>
      <c r="J29" s="263"/>
      <c r="K29" s="41">
        <v>0</v>
      </c>
      <c r="L29" s="41">
        <v>0</v>
      </c>
      <c r="M29" s="41">
        <f>+K29-L29</f>
        <v>0</v>
      </c>
    </row>
    <row r="30" spans="2:13" s="15" customFormat="1" ht="11.25" customHeight="1">
      <c r="B30" s="74" t="s">
        <v>330</v>
      </c>
      <c r="C30" s="283">
        <f>SUM(C25:C29)</f>
        <v>35055</v>
      </c>
      <c r="D30" s="283">
        <f>SUM(D25:D29)</f>
        <v>14597</v>
      </c>
      <c r="E30" s="283">
        <f>SUM(E25:E29)</f>
        <v>20458</v>
      </c>
      <c r="F30" s="263"/>
      <c r="G30" s="283">
        <f>SUM(G25:G29)</f>
        <v>27174</v>
      </c>
      <c r="H30" s="283">
        <f>SUM(H25:H29)</f>
        <v>9269</v>
      </c>
      <c r="I30" s="283">
        <f>SUM(I25:I29)</f>
        <v>17905</v>
      </c>
      <c r="J30" s="263"/>
      <c r="K30" s="460">
        <f>SUM(K25:K29)</f>
        <v>7881</v>
      </c>
      <c r="L30" s="460">
        <f>SUM(L25:L29)</f>
        <v>5328</v>
      </c>
      <c r="M30" s="460">
        <f>SUM(M25:M29)</f>
        <v>2553</v>
      </c>
    </row>
    <row r="31" spans="2:13" ht="5.25" customHeight="1">
      <c r="B31" s="74"/>
      <c r="C31" s="36"/>
      <c r="D31" s="36"/>
      <c r="E31" s="36"/>
      <c r="F31" s="423"/>
      <c r="G31" s="36"/>
      <c r="H31" s="36"/>
      <c r="I31" s="36"/>
      <c r="J31" s="423"/>
      <c r="K31" s="36"/>
      <c r="L31" s="36"/>
      <c r="M31" s="36"/>
    </row>
    <row r="32" spans="2:13" ht="12.75">
      <c r="B32" s="86" t="s">
        <v>94</v>
      </c>
      <c r="C32" s="40">
        <v>2130</v>
      </c>
      <c r="D32" s="40">
        <v>450</v>
      </c>
      <c r="E32" s="40">
        <f>+C32-D32</f>
        <v>1680</v>
      </c>
      <c r="F32" s="263"/>
      <c r="G32" s="41">
        <f aca="true" t="shared" si="4" ref="G32:H34">+C32-K32</f>
        <v>2143</v>
      </c>
      <c r="H32" s="41">
        <f t="shared" si="4"/>
        <v>476</v>
      </c>
      <c r="I32" s="40">
        <f>+G32-H32</f>
        <v>1667</v>
      </c>
      <c r="J32" s="263"/>
      <c r="K32" s="41">
        <v>-13</v>
      </c>
      <c r="L32" s="41">
        <v>-26</v>
      </c>
      <c r="M32" s="41">
        <f>+K32-L32</f>
        <v>13</v>
      </c>
    </row>
    <row r="33" spans="2:13" ht="12.75">
      <c r="B33" s="86" t="s">
        <v>95</v>
      </c>
      <c r="C33" s="40">
        <v>-1686</v>
      </c>
      <c r="D33" s="40">
        <v>-503</v>
      </c>
      <c r="E33" s="40">
        <f>+C33-D33</f>
        <v>-1183</v>
      </c>
      <c r="F33" s="263"/>
      <c r="G33" s="41">
        <f t="shared" si="4"/>
        <v>-1486</v>
      </c>
      <c r="H33" s="41">
        <f t="shared" si="4"/>
        <v>-353</v>
      </c>
      <c r="I33" s="40">
        <f>+G33-H33</f>
        <v>-1133</v>
      </c>
      <c r="J33" s="263"/>
      <c r="K33" s="41">
        <v>-200</v>
      </c>
      <c r="L33" s="41">
        <v>-150</v>
      </c>
      <c r="M33" s="41">
        <f>+K33-L33</f>
        <v>-50</v>
      </c>
    </row>
    <row r="34" spans="2:13" ht="12.75">
      <c r="B34" s="77" t="s">
        <v>332</v>
      </c>
      <c r="C34" s="40">
        <v>9</v>
      </c>
      <c r="D34" s="40">
        <v>10</v>
      </c>
      <c r="E34" s="40">
        <f>+C34-D34</f>
        <v>-1</v>
      </c>
      <c r="F34" s="263"/>
      <c r="G34" s="41">
        <f t="shared" si="4"/>
        <v>16</v>
      </c>
      <c r="H34" s="41">
        <f t="shared" si="4"/>
        <v>10</v>
      </c>
      <c r="I34" s="40">
        <f>+G34-H34</f>
        <v>6</v>
      </c>
      <c r="J34" s="263"/>
      <c r="K34" s="41">
        <v>-7</v>
      </c>
      <c r="L34" s="41">
        <v>0</v>
      </c>
      <c r="M34" s="41">
        <f>+K34-L34</f>
        <v>-7</v>
      </c>
    </row>
    <row r="35" spans="2:13" s="15" customFormat="1" ht="11.25" customHeight="1">
      <c r="B35" s="74" t="s">
        <v>354</v>
      </c>
      <c r="C35" s="283">
        <f>SUM(C30:C34)</f>
        <v>35508</v>
      </c>
      <c r="D35" s="283">
        <f>SUM(D30:D34)</f>
        <v>14554</v>
      </c>
      <c r="E35" s="283">
        <f>SUM(E30:E34)</f>
        <v>20954</v>
      </c>
      <c r="F35" s="263"/>
      <c r="G35" s="283">
        <f>SUM(G30:G34)</f>
        <v>27847</v>
      </c>
      <c r="H35" s="283">
        <f>SUM(H30:H34)</f>
        <v>9402</v>
      </c>
      <c r="I35" s="283">
        <f>SUM(I30:I34)</f>
        <v>18445</v>
      </c>
      <c r="J35" s="263"/>
      <c r="K35" s="460">
        <f>SUM(K30:K34)</f>
        <v>7661</v>
      </c>
      <c r="L35" s="460">
        <f>SUM(L30:L34)</f>
        <v>5152</v>
      </c>
      <c r="M35" s="460">
        <f>SUM(M30:M34)</f>
        <v>2509</v>
      </c>
    </row>
    <row r="36" spans="2:13" ht="5.25" customHeight="1">
      <c r="B36" s="74"/>
      <c r="C36" s="36"/>
      <c r="D36" s="36"/>
      <c r="E36" s="36"/>
      <c r="F36" s="423"/>
      <c r="G36" s="36"/>
      <c r="H36" s="36"/>
      <c r="I36" s="36"/>
      <c r="J36" s="423"/>
      <c r="K36" s="36"/>
      <c r="L36" s="36"/>
      <c r="M36" s="36"/>
    </row>
    <row r="37" spans="2:13" ht="12.75">
      <c r="B37" s="86" t="s">
        <v>94</v>
      </c>
      <c r="C37" s="40">
        <v>2378</v>
      </c>
      <c r="D37" s="40">
        <v>630</v>
      </c>
      <c r="E37" s="40">
        <f>+C37-D37</f>
        <v>1748</v>
      </c>
      <c r="F37" s="263"/>
      <c r="G37" s="41">
        <f aca="true" t="shared" si="5" ref="G37:H39">+C37-K37</f>
        <v>2349</v>
      </c>
      <c r="H37" s="41">
        <f t="shared" si="5"/>
        <v>618</v>
      </c>
      <c r="I37" s="40">
        <f>+G37-H37</f>
        <v>1731</v>
      </c>
      <c r="J37" s="263"/>
      <c r="K37" s="41">
        <v>29</v>
      </c>
      <c r="L37" s="41">
        <v>12</v>
      </c>
      <c r="M37" s="41">
        <f>+K37-L37</f>
        <v>17</v>
      </c>
    </row>
    <row r="38" spans="2:13" ht="12.75">
      <c r="B38" s="86" t="s">
        <v>95</v>
      </c>
      <c r="C38" s="40">
        <v>-2536</v>
      </c>
      <c r="D38" s="40">
        <v>-1082</v>
      </c>
      <c r="E38" s="40">
        <f>+C38-D38</f>
        <v>-1454</v>
      </c>
      <c r="F38" s="263"/>
      <c r="G38" s="41">
        <f t="shared" si="5"/>
        <v>-2344</v>
      </c>
      <c r="H38" s="41">
        <f t="shared" si="5"/>
        <v>-938</v>
      </c>
      <c r="I38" s="40">
        <f>+G38-H38</f>
        <v>-1406</v>
      </c>
      <c r="J38" s="263"/>
      <c r="K38" s="41">
        <v>-192</v>
      </c>
      <c r="L38" s="41">
        <v>-144</v>
      </c>
      <c r="M38" s="41">
        <f>+K38-L38</f>
        <v>-48</v>
      </c>
    </row>
    <row r="39" spans="2:13" ht="12.75">
      <c r="B39" s="77" t="s">
        <v>332</v>
      </c>
      <c r="C39" s="40">
        <v>214</v>
      </c>
      <c r="D39" s="40">
        <v>69</v>
      </c>
      <c r="E39" s="40">
        <f>+C39-D39</f>
        <v>145</v>
      </c>
      <c r="F39" s="263"/>
      <c r="G39" s="41">
        <f t="shared" si="5"/>
        <v>212</v>
      </c>
      <c r="H39" s="41">
        <f t="shared" si="5"/>
        <v>69</v>
      </c>
      <c r="I39" s="40">
        <f>+G39-H39</f>
        <v>143</v>
      </c>
      <c r="J39" s="263"/>
      <c r="K39" s="41">
        <v>2</v>
      </c>
      <c r="L39" s="41">
        <v>0</v>
      </c>
      <c r="M39" s="41">
        <f>+K39-L39</f>
        <v>2</v>
      </c>
    </row>
    <row r="40" spans="2:13" ht="12.75">
      <c r="B40" s="74" t="s">
        <v>401</v>
      </c>
      <c r="C40" s="283">
        <f>SUM(C35:C39)</f>
        <v>35564</v>
      </c>
      <c r="D40" s="283">
        <f>SUM(D35:D39)</f>
        <v>14171</v>
      </c>
      <c r="E40" s="283">
        <f>SUM(E35:E39)</f>
        <v>21393</v>
      </c>
      <c r="F40" s="263"/>
      <c r="G40" s="283">
        <f>SUM(G35:G39)</f>
        <v>28064</v>
      </c>
      <c r="H40" s="283">
        <f>SUM(H35:H39)</f>
        <v>9151</v>
      </c>
      <c r="I40" s="283">
        <f>SUM(I35:I39)</f>
        <v>18913</v>
      </c>
      <c r="J40" s="263"/>
      <c r="K40" s="460">
        <f>SUM(K35:K39)</f>
        <v>7500</v>
      </c>
      <c r="L40" s="460">
        <f>SUM(L35:L39)</f>
        <v>5020</v>
      </c>
      <c r="M40" s="460">
        <f>SUM(M35:M39)</f>
        <v>2480</v>
      </c>
    </row>
    <row r="41" spans="2:13" s="7" customFormat="1" ht="5.25" customHeight="1">
      <c r="B41" s="74"/>
      <c r="C41" s="36"/>
      <c r="D41" s="36"/>
      <c r="E41" s="36"/>
      <c r="F41" s="423"/>
      <c r="G41" s="36"/>
      <c r="H41" s="36"/>
      <c r="I41" s="36"/>
      <c r="J41" s="423"/>
      <c r="K41" s="36"/>
      <c r="L41" s="36"/>
      <c r="M41" s="36"/>
    </row>
    <row r="42" spans="2:13" ht="12.75">
      <c r="B42" s="86" t="s">
        <v>94</v>
      </c>
      <c r="C42" s="40">
        <v>2582</v>
      </c>
      <c r="D42" s="40">
        <v>764</v>
      </c>
      <c r="E42" s="40">
        <f>+C42-D42</f>
        <v>1818</v>
      </c>
      <c r="F42" s="423"/>
      <c r="G42" s="41">
        <f aca="true" t="shared" si="6" ref="G42:H45">+C42-K42</f>
        <v>2588</v>
      </c>
      <c r="H42" s="41">
        <f t="shared" si="6"/>
        <v>797</v>
      </c>
      <c r="I42" s="40">
        <f>+G42-H42</f>
        <v>1791</v>
      </c>
      <c r="J42" s="423"/>
      <c r="K42" s="41">
        <v>-6</v>
      </c>
      <c r="L42" s="41">
        <v>-33</v>
      </c>
      <c r="M42" s="40">
        <f>+K42-L42</f>
        <v>27</v>
      </c>
    </row>
    <row r="43" spans="2:13" ht="12.75">
      <c r="B43" s="86" t="s">
        <v>95</v>
      </c>
      <c r="C43" s="40">
        <v>-2395</v>
      </c>
      <c r="D43" s="40">
        <v>-975</v>
      </c>
      <c r="E43" s="40">
        <f>+C43-D43</f>
        <v>-1420</v>
      </c>
      <c r="F43" s="423"/>
      <c r="G43" s="41">
        <f t="shared" si="6"/>
        <v>-2223</v>
      </c>
      <c r="H43" s="41">
        <f t="shared" si="6"/>
        <v>-893</v>
      </c>
      <c r="I43" s="40">
        <f>+G43-H43</f>
        <v>-1330</v>
      </c>
      <c r="J43" s="423"/>
      <c r="K43" s="41">
        <v>-172</v>
      </c>
      <c r="L43" s="41">
        <v>-82</v>
      </c>
      <c r="M43" s="40">
        <f>+K43-L43</f>
        <v>-90</v>
      </c>
    </row>
    <row r="44" spans="2:13" ht="12.75">
      <c r="B44" s="77" t="s">
        <v>424</v>
      </c>
      <c r="C44" s="40">
        <v>-808</v>
      </c>
      <c r="D44" s="40">
        <v>-320</v>
      </c>
      <c r="E44" s="40">
        <f>+C44-D44</f>
        <v>-488</v>
      </c>
      <c r="F44" s="423"/>
      <c r="G44" s="41">
        <f>+C44-K44</f>
        <v>0</v>
      </c>
      <c r="H44" s="41">
        <f>+D44-L44</f>
        <v>0</v>
      </c>
      <c r="I44" s="40">
        <f>+G44-H44</f>
        <v>0</v>
      </c>
      <c r="J44" s="423"/>
      <c r="K44" s="41">
        <v>-808</v>
      </c>
      <c r="L44" s="41">
        <v>-320</v>
      </c>
      <c r="M44" s="40">
        <f>+K44-L44</f>
        <v>-488</v>
      </c>
    </row>
    <row r="45" spans="2:13" ht="12.75">
      <c r="B45" s="77" t="s">
        <v>332</v>
      </c>
      <c r="C45" s="40">
        <v>206</v>
      </c>
      <c r="D45" s="40">
        <v>69</v>
      </c>
      <c r="E45" s="40">
        <f>+C45-D45</f>
        <v>137</v>
      </c>
      <c r="F45" s="423"/>
      <c r="G45" s="41">
        <f t="shared" si="6"/>
        <v>199</v>
      </c>
      <c r="H45" s="41">
        <f t="shared" si="6"/>
        <v>69</v>
      </c>
      <c r="I45" s="40">
        <f>+G45-H45</f>
        <v>130</v>
      </c>
      <c r="J45" s="423"/>
      <c r="K45" s="41">
        <v>7</v>
      </c>
      <c r="L45" s="41">
        <v>0</v>
      </c>
      <c r="M45" s="40">
        <f>+K45-L45</f>
        <v>7</v>
      </c>
    </row>
    <row r="46" spans="2:13" ht="12.75">
      <c r="B46" s="74" t="s">
        <v>409</v>
      </c>
      <c r="C46" s="283">
        <f>SUM(C40:C45)</f>
        <v>35149</v>
      </c>
      <c r="D46" s="283">
        <f>SUM(D40:D45)</f>
        <v>13709</v>
      </c>
      <c r="E46" s="283">
        <f>SUM(E40:E45)</f>
        <v>21440</v>
      </c>
      <c r="F46" s="263"/>
      <c r="G46" s="283">
        <f>SUM(G40:G45)</f>
        <v>28628</v>
      </c>
      <c r="H46" s="283">
        <f>SUM(H40:H45)</f>
        <v>9124</v>
      </c>
      <c r="I46" s="283">
        <f>SUM(I40:I45)</f>
        <v>19504</v>
      </c>
      <c r="J46" s="263"/>
      <c r="K46" s="460">
        <f>SUM(K40:K45)</f>
        <v>6521</v>
      </c>
      <c r="L46" s="460">
        <f>SUM(L40:L45)</f>
        <v>4585</v>
      </c>
      <c r="M46" s="460">
        <f>SUM(M40:M45)</f>
        <v>1936</v>
      </c>
    </row>
    <row r="47" spans="2:13" s="7" customFormat="1" ht="5.25" customHeight="1">
      <c r="B47" s="74"/>
      <c r="C47" s="36"/>
      <c r="D47" s="36"/>
      <c r="E47" s="36"/>
      <c r="F47" s="423"/>
      <c r="G47" s="36"/>
      <c r="H47" s="36"/>
      <c r="I47" s="36"/>
      <c r="J47" s="423"/>
      <c r="K47" s="36"/>
      <c r="L47" s="36"/>
      <c r="M47" s="36"/>
    </row>
    <row r="48" spans="2:13" ht="12.75">
      <c r="B48" s="86" t="s">
        <v>94</v>
      </c>
      <c r="C48" s="40">
        <f>2812-32</f>
        <v>2780</v>
      </c>
      <c r="D48" s="40">
        <f>988-32</f>
        <v>956</v>
      </c>
      <c r="E48" s="40">
        <f>+C48-D48</f>
        <v>1824</v>
      </c>
      <c r="F48" s="423"/>
      <c r="G48" s="41">
        <f aca="true" t="shared" si="7" ref="G48:H50">+C48-K48</f>
        <v>2477</v>
      </c>
      <c r="H48" s="41">
        <f t="shared" si="7"/>
        <v>710</v>
      </c>
      <c r="I48" s="40">
        <f>+G48-H48</f>
        <v>1767</v>
      </c>
      <c r="J48" s="423"/>
      <c r="K48" s="41">
        <f>221-21+103</f>
        <v>303</v>
      </c>
      <c r="L48" s="41">
        <f>77+169</f>
        <v>246</v>
      </c>
      <c r="M48" s="40">
        <f>+K48-L48</f>
        <v>57</v>
      </c>
    </row>
    <row r="49" spans="2:13" ht="12.75">
      <c r="B49" s="86" t="s">
        <v>95</v>
      </c>
      <c r="C49" s="40">
        <v>-2613</v>
      </c>
      <c r="D49" s="40">
        <v>-1211</v>
      </c>
      <c r="E49" s="40">
        <f>+C49-D49</f>
        <v>-1402</v>
      </c>
      <c r="F49" s="423"/>
      <c r="G49" s="41">
        <f t="shared" si="7"/>
        <v>-2405</v>
      </c>
      <c r="H49" s="41">
        <f t="shared" si="7"/>
        <v>-1078</v>
      </c>
      <c r="I49" s="40">
        <f>+G49-H49</f>
        <v>-1327</v>
      </c>
      <c r="J49" s="423"/>
      <c r="K49" s="41">
        <v>-208</v>
      </c>
      <c r="L49" s="41">
        <v>-133</v>
      </c>
      <c r="M49" s="40">
        <f>+K49-L49</f>
        <v>-75</v>
      </c>
    </row>
    <row r="50" spans="2:13" ht="12.75">
      <c r="B50" s="77" t="s">
        <v>332</v>
      </c>
      <c r="C50" s="40">
        <f>169+32</f>
        <v>201</v>
      </c>
      <c r="D50" s="40">
        <f>23+32</f>
        <v>55</v>
      </c>
      <c r="E50" s="40">
        <f>+C50-D50</f>
        <v>146</v>
      </c>
      <c r="F50" s="423"/>
      <c r="G50" s="41">
        <f t="shared" si="7"/>
        <v>289</v>
      </c>
      <c r="H50" s="41">
        <f t="shared" si="7"/>
        <v>221</v>
      </c>
      <c r="I50" s="40">
        <f>+G50-H50</f>
        <v>68</v>
      </c>
      <c r="J50" s="423"/>
      <c r="K50" s="41">
        <f>15-103</f>
        <v>-88</v>
      </c>
      <c r="L50" s="41">
        <f>3-169</f>
        <v>-166</v>
      </c>
      <c r="M50" s="40">
        <f>+K50-L50</f>
        <v>78</v>
      </c>
    </row>
    <row r="51" spans="2:13" ht="13.5" thickBot="1">
      <c r="B51" s="74" t="s">
        <v>442</v>
      </c>
      <c r="C51" s="164">
        <f>SUM(C46:C50)</f>
        <v>35517</v>
      </c>
      <c r="D51" s="164">
        <f>SUM(D46:D50)</f>
        <v>13509</v>
      </c>
      <c r="E51" s="164">
        <f>SUM(E46:E50)</f>
        <v>22008</v>
      </c>
      <c r="F51" s="423"/>
      <c r="G51" s="164">
        <f>SUM(G46:G50)</f>
        <v>28989</v>
      </c>
      <c r="H51" s="164">
        <f>SUM(H46:H50)</f>
        <v>8977</v>
      </c>
      <c r="I51" s="164">
        <f>SUM(I46:I50)</f>
        <v>20012</v>
      </c>
      <c r="J51" s="423"/>
      <c r="K51" s="164">
        <f>SUM(K46:K50)</f>
        <v>6528</v>
      </c>
      <c r="L51" s="164">
        <f>SUM(L46:L50)</f>
        <v>4532</v>
      </c>
      <c r="M51" s="164">
        <f>SUM(M46:M50)</f>
        <v>1996</v>
      </c>
    </row>
    <row r="52" spans="2:13" ht="5.25" customHeight="1" thickTop="1">
      <c r="B52" s="74"/>
      <c r="C52" s="36"/>
      <c r="D52" s="36"/>
      <c r="E52" s="36"/>
      <c r="F52" s="423"/>
      <c r="G52" s="36"/>
      <c r="H52" s="36"/>
      <c r="I52" s="36"/>
      <c r="J52" s="423"/>
      <c r="K52" s="36"/>
      <c r="L52" s="36"/>
      <c r="M52" s="36"/>
    </row>
    <row r="53" spans="2:13" ht="11.25">
      <c r="B53" s="626" t="s">
        <v>319</v>
      </c>
      <c r="C53" s="626"/>
      <c r="D53" s="626"/>
      <c r="E53" s="626"/>
      <c r="F53" s="626"/>
      <c r="G53" s="626"/>
      <c r="H53" s="626"/>
      <c r="I53" s="626"/>
      <c r="J53" s="626"/>
      <c r="K53" s="626"/>
      <c r="L53" s="626"/>
      <c r="M53" s="626"/>
    </row>
    <row r="54" spans="2:13" ht="6" customHeight="1">
      <c r="B54" s="625"/>
      <c r="C54" s="625"/>
      <c r="D54" s="625"/>
      <c r="E54" s="625"/>
      <c r="F54" s="625"/>
      <c r="G54" s="625"/>
      <c r="H54" s="625"/>
      <c r="I54" s="625"/>
      <c r="J54" s="625"/>
      <c r="K54" s="625"/>
      <c r="L54" s="625"/>
      <c r="M54" s="625"/>
    </row>
    <row r="55" spans="3:13" ht="11.25">
      <c r="C55" s="9"/>
      <c r="D55" s="9"/>
      <c r="E55" s="9"/>
      <c r="M55" s="88"/>
    </row>
    <row r="56" spans="3:13" ht="11.25">
      <c r="C56" s="9"/>
      <c r="D56" s="9"/>
      <c r="E56" s="9"/>
      <c r="M56" s="88"/>
    </row>
    <row r="57" spans="3:5" ht="11.25">
      <c r="C57" s="9"/>
      <c r="D57" s="9"/>
      <c r="E57" s="9"/>
    </row>
    <row r="58" spans="3:5" ht="11.25">
      <c r="C58" s="9"/>
      <c r="D58" s="9"/>
      <c r="E58" s="9"/>
    </row>
    <row r="67" spans="3:5" ht="11.25">
      <c r="C67" s="9"/>
      <c r="D67" s="9"/>
      <c r="E67" s="9"/>
    </row>
    <row r="68" spans="3:5" ht="11.25">
      <c r="C68" s="9"/>
      <c r="D68" s="9"/>
      <c r="E68" s="9"/>
    </row>
    <row r="69" spans="3:5" ht="11.25">
      <c r="C69" s="9"/>
      <c r="D69" s="9"/>
      <c r="E69" s="9"/>
    </row>
    <row r="70" spans="3:5" ht="11.25">
      <c r="C70" s="9"/>
      <c r="D70" s="9"/>
      <c r="E70" s="9"/>
    </row>
    <row r="71" spans="3:5" ht="11.25">
      <c r="C71" s="9"/>
      <c r="D71" s="9"/>
      <c r="E71" s="9"/>
    </row>
    <row r="72" spans="3:5" ht="11.25">
      <c r="C72" s="9"/>
      <c r="D72" s="9"/>
      <c r="E72" s="9"/>
    </row>
    <row r="73" spans="3:5" ht="11.25">
      <c r="C73" s="9"/>
      <c r="D73" s="9"/>
      <c r="E73" s="9"/>
    </row>
    <row r="74" spans="3:5" ht="11.25">
      <c r="C74" s="9"/>
      <c r="D74" s="9"/>
      <c r="E74" s="9"/>
    </row>
    <row r="75" spans="3:5" ht="11.25">
      <c r="C75" s="9"/>
      <c r="D75" s="9"/>
      <c r="E75" s="9"/>
    </row>
    <row r="76" spans="3:5" ht="11.25">
      <c r="C76" s="9"/>
      <c r="D76" s="9"/>
      <c r="E76" s="9"/>
    </row>
    <row r="77" spans="3:5" ht="11.25">
      <c r="C77" s="9"/>
      <c r="D77" s="9"/>
      <c r="E77" s="9"/>
    </row>
  </sheetData>
  <sheetProtection objects="1"/>
  <mergeCells count="9">
    <mergeCell ref="B54:M54"/>
    <mergeCell ref="B53:M53"/>
    <mergeCell ref="B1:M1"/>
    <mergeCell ref="B2:M2"/>
    <mergeCell ref="B3:M3"/>
    <mergeCell ref="B4:M4"/>
    <mergeCell ref="C7:E7"/>
    <mergeCell ref="G7:I7"/>
    <mergeCell ref="K7:M7"/>
  </mergeCells>
  <hyperlinks>
    <hyperlink ref="I15" location="'Consol Bal Sheet'!j26" display="'Consol Bal Sheet'!j26"/>
    <hyperlink ref="C30" location="'Consol Bal Sheet'!G29" display="'Consol Bal Sheet'!G29"/>
    <hyperlink ref="C35" location="'Consol Bal Sheet'!E29" display="'Consol Bal Sheet'!E29"/>
    <hyperlink ref="C40" location="'Consol Bal Sheet'!E29" display="'Consol Bal Sheet'!E29"/>
    <hyperlink ref="C46" location="'Consol Bal Sheet'!E29" display="'Consol Bal Sheet'!E29"/>
    <hyperlink ref="C51" location="'Consol Bal Sheet'!E29" display="'Consol Bal Sheet'!E29"/>
  </hyperlinks>
  <printOptions/>
  <pageMargins left="0.5" right="0.5" top="0.5" bottom="0.45" header="0.75" footer="0.25"/>
  <pageSetup fitToHeight="1" fitToWidth="1" horizontalDpi="600" verticalDpi="600" orientation="landscape" scale="92" r:id="rId2"/>
  <headerFooter alignWithMargins="0">
    <oddFooter>&amp;L&amp;A&amp;R&amp;"Arial,Regular"&amp;8Page 15</oddFooter>
  </headerFooter>
  <drawing r:id="rId1"/>
</worksheet>
</file>

<file path=xl/worksheets/sheet18.xml><?xml version="1.0" encoding="utf-8"?>
<worksheet xmlns="http://schemas.openxmlformats.org/spreadsheetml/2006/main" xmlns:r="http://schemas.openxmlformats.org/officeDocument/2006/relationships">
  <sheetPr codeName="Sheet51"/>
  <dimension ref="A1:BL76"/>
  <sheetViews>
    <sheetView workbookViewId="0" topLeftCell="A1">
      <selection activeCell="A5" sqref="A5"/>
    </sheetView>
  </sheetViews>
  <sheetFormatPr defaultColWidth="9.33203125" defaultRowHeight="12.75"/>
  <cols>
    <col min="1" max="2" width="3.33203125" style="70" customWidth="1"/>
    <col min="3" max="3" width="38.16015625" style="70" customWidth="1"/>
    <col min="4" max="4" width="2.83203125" style="70" customWidth="1"/>
    <col min="5" max="5" width="14.83203125" style="70" customWidth="1"/>
    <col min="6" max="6" width="2.83203125" style="70" customWidth="1"/>
    <col min="7" max="7" width="14.66015625" style="70" customWidth="1"/>
    <col min="8" max="8" width="2.83203125" style="70" customWidth="1"/>
    <col min="9" max="9" width="14.83203125" style="70" customWidth="1"/>
    <col min="10" max="10" width="2.83203125" style="70" customWidth="1"/>
    <col min="11" max="11" width="14.83203125" style="70" customWidth="1"/>
    <col min="12" max="12" width="2.83203125" style="70" customWidth="1"/>
    <col min="13" max="13" width="14.83203125" style="70" customWidth="1"/>
    <col min="14" max="14" width="2.83203125" style="70" customWidth="1"/>
    <col min="15" max="15" width="14.83203125" style="70" customWidth="1"/>
    <col min="16" max="16" width="2.83203125" style="70" customWidth="1"/>
    <col min="17" max="17" width="14.33203125" style="0" customWidth="1"/>
    <col min="18" max="16384" width="10.66015625" style="70" customWidth="1"/>
  </cols>
  <sheetData>
    <row r="1" spans="1:16" ht="14.25" customHeight="1">
      <c r="A1" s="593" t="s">
        <v>96</v>
      </c>
      <c r="B1" s="593"/>
      <c r="C1" s="593"/>
      <c r="D1" s="593"/>
      <c r="E1" s="593"/>
      <c r="F1" s="593"/>
      <c r="G1" s="593"/>
      <c r="H1" s="593"/>
      <c r="I1" s="593"/>
      <c r="J1" s="593"/>
      <c r="K1" s="593"/>
      <c r="L1" s="593"/>
      <c r="M1" s="593"/>
      <c r="N1" s="593"/>
      <c r="O1" s="357"/>
      <c r="P1" s="357"/>
    </row>
    <row r="2" spans="1:16" ht="11.25" customHeight="1">
      <c r="A2" s="594" t="s">
        <v>200</v>
      </c>
      <c r="B2" s="594"/>
      <c r="C2" s="594"/>
      <c r="D2" s="594"/>
      <c r="E2" s="594"/>
      <c r="F2" s="594"/>
      <c r="G2" s="594"/>
      <c r="H2" s="594"/>
      <c r="I2" s="594"/>
      <c r="J2" s="594"/>
      <c r="K2" s="594"/>
      <c r="L2" s="594"/>
      <c r="M2" s="594"/>
      <c r="N2" s="594"/>
      <c r="O2" s="562"/>
      <c r="P2" s="562"/>
    </row>
    <row r="3" spans="1:16" ht="11.25" customHeight="1">
      <c r="A3" s="595" t="s">
        <v>154</v>
      </c>
      <c r="B3" s="595"/>
      <c r="C3" s="595"/>
      <c r="D3" s="595"/>
      <c r="E3" s="595"/>
      <c r="F3" s="595"/>
      <c r="G3" s="595"/>
      <c r="H3" s="595"/>
      <c r="I3" s="595"/>
      <c r="J3" s="595"/>
      <c r="K3" s="595"/>
      <c r="L3" s="595"/>
      <c r="M3" s="595"/>
      <c r="N3" s="595"/>
      <c r="O3" s="360"/>
      <c r="P3" s="360"/>
    </row>
    <row r="4" spans="1:16" ht="11.25" customHeight="1">
      <c r="A4" s="595" t="s">
        <v>170</v>
      </c>
      <c r="B4" s="595"/>
      <c r="C4" s="595"/>
      <c r="D4" s="595"/>
      <c r="E4" s="595"/>
      <c r="F4" s="595"/>
      <c r="G4" s="595"/>
      <c r="H4" s="595"/>
      <c r="I4" s="595"/>
      <c r="J4" s="595"/>
      <c r="K4" s="595"/>
      <c r="L4" s="595"/>
      <c r="M4" s="595"/>
      <c r="N4" s="595"/>
      <c r="O4" s="360"/>
      <c r="P4" s="360"/>
    </row>
    <row r="5" spans="3:16" ht="14.25" customHeight="1">
      <c r="C5" s="539"/>
      <c r="D5" s="539"/>
      <c r="E5" s="539"/>
      <c r="F5" s="287"/>
      <c r="G5" s="287"/>
      <c r="H5" s="287"/>
      <c r="I5" s="287"/>
      <c r="J5" s="287"/>
      <c r="K5" s="287"/>
      <c r="L5" s="287"/>
      <c r="M5" s="287"/>
      <c r="N5" s="287"/>
      <c r="O5" s="287"/>
      <c r="P5" s="287"/>
    </row>
    <row r="6" spans="1:63" ht="14.25" customHeight="1">
      <c r="A6" s="124"/>
      <c r="C6" s="188" t="s">
        <v>39</v>
      </c>
      <c r="D6" s="188"/>
      <c r="E6" s="188"/>
      <c r="F6" s="188"/>
      <c r="G6" s="188"/>
      <c r="H6" s="188"/>
      <c r="I6" s="188"/>
      <c r="J6" s="188"/>
      <c r="K6" s="188"/>
      <c r="L6" s="188"/>
      <c r="M6" s="188"/>
      <c r="N6" s="188"/>
      <c r="O6" s="472"/>
      <c r="P6"/>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row>
    <row r="7" spans="5:64" ht="12.75" customHeight="1">
      <c r="E7" s="201" t="s">
        <v>221</v>
      </c>
      <c r="F7" s="188"/>
      <c r="G7" s="201" t="s">
        <v>410</v>
      </c>
      <c r="H7" s="188"/>
      <c r="I7" s="201" t="s">
        <v>402</v>
      </c>
      <c r="J7" s="188"/>
      <c r="K7" s="201" t="s">
        <v>222</v>
      </c>
      <c r="L7" s="188"/>
      <c r="M7" s="201" t="s">
        <v>221</v>
      </c>
      <c r="N7" s="512"/>
      <c r="O7" s="336"/>
      <c r="P7"/>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row>
    <row r="8" spans="3:16" ht="12.75" customHeight="1">
      <c r="C8" s="146"/>
      <c r="D8" s="146"/>
      <c r="E8" s="23">
        <v>2006</v>
      </c>
      <c r="F8" s="146"/>
      <c r="G8" s="23">
        <v>2006</v>
      </c>
      <c r="H8" s="146"/>
      <c r="I8" s="23">
        <v>2006</v>
      </c>
      <c r="J8" s="146"/>
      <c r="K8" s="23">
        <v>2006</v>
      </c>
      <c r="L8" s="146"/>
      <c r="M8" s="23">
        <v>2005</v>
      </c>
      <c r="N8" s="389"/>
      <c r="O8" s="30"/>
      <c r="P8"/>
    </row>
    <row r="9" spans="3:16" ht="4.5" customHeight="1">
      <c r="C9" s="146"/>
      <c r="D9" s="146"/>
      <c r="E9" s="165"/>
      <c r="F9" s="146"/>
      <c r="G9" s="165"/>
      <c r="H9" s="146"/>
      <c r="I9" s="165"/>
      <c r="J9" s="146"/>
      <c r="K9" s="165"/>
      <c r="L9" s="146"/>
      <c r="M9" s="389"/>
      <c r="N9" s="389"/>
      <c r="O9" s="389"/>
      <c r="P9"/>
    </row>
    <row r="10" spans="3:16" ht="11.25" customHeight="1">
      <c r="C10" s="196" t="s">
        <v>375</v>
      </c>
      <c r="D10" s="196"/>
      <c r="E10" s="124"/>
      <c r="F10" s="196"/>
      <c r="G10" s="124"/>
      <c r="H10" s="196"/>
      <c r="I10" s="124"/>
      <c r="J10" s="196"/>
      <c r="K10" s="124"/>
      <c r="L10" s="196"/>
      <c r="M10" s="124"/>
      <c r="N10" s="513"/>
      <c r="O10" s="124"/>
      <c r="P10"/>
    </row>
    <row r="11" spans="3:16" ht="13.5" customHeight="1">
      <c r="C11" s="24" t="s">
        <v>282</v>
      </c>
      <c r="D11" s="24"/>
      <c r="E11" s="33">
        <v>906</v>
      </c>
      <c r="F11" s="24"/>
      <c r="G11" s="33">
        <v>855</v>
      </c>
      <c r="H11" s="24"/>
      <c r="I11" s="33">
        <v>1008</v>
      </c>
      <c r="J11" s="24"/>
      <c r="K11" s="33">
        <v>940</v>
      </c>
      <c r="L11" s="24"/>
      <c r="M11" s="33">
        <v>811</v>
      </c>
      <c r="N11" s="144"/>
      <c r="O11" s="34"/>
      <c r="P11" s="263"/>
    </row>
    <row r="12" spans="3:16" ht="13.5" customHeight="1">
      <c r="C12" s="24" t="s">
        <v>272</v>
      </c>
      <c r="D12" s="24"/>
      <c r="E12" s="65">
        <v>358</v>
      </c>
      <c r="F12" s="24"/>
      <c r="G12" s="65">
        <v>346</v>
      </c>
      <c r="H12" s="24"/>
      <c r="I12" s="65">
        <v>313</v>
      </c>
      <c r="J12" s="24"/>
      <c r="K12" s="65">
        <v>314</v>
      </c>
      <c r="L12" s="24"/>
      <c r="M12" s="65">
        <v>307</v>
      </c>
      <c r="N12" s="144"/>
      <c r="O12" s="40"/>
      <c r="P12" s="263"/>
    </row>
    <row r="13" spans="3:16" ht="13.5" customHeight="1">
      <c r="C13" s="24" t="s">
        <v>398</v>
      </c>
      <c r="D13" s="24"/>
      <c r="E13" s="65">
        <v>36</v>
      </c>
      <c r="F13" s="24"/>
      <c r="G13" s="65">
        <v>37</v>
      </c>
      <c r="H13" s="24"/>
      <c r="I13" s="65">
        <v>41</v>
      </c>
      <c r="J13" s="24"/>
      <c r="K13" s="65">
        <v>59</v>
      </c>
      <c r="L13" s="24"/>
      <c r="M13" s="65">
        <v>53</v>
      </c>
      <c r="N13" s="144"/>
      <c r="O13" s="40"/>
      <c r="P13" s="263"/>
    </row>
    <row r="14" spans="3:16" ht="13.5" customHeight="1">
      <c r="C14" s="24" t="s">
        <v>399</v>
      </c>
      <c r="D14" s="24"/>
      <c r="E14" s="65">
        <v>16</v>
      </c>
      <c r="F14" s="24"/>
      <c r="G14" s="65">
        <v>25</v>
      </c>
      <c r="H14" s="24"/>
      <c r="I14" s="65">
        <v>18</v>
      </c>
      <c r="J14" s="24"/>
      <c r="K14" s="65">
        <v>18</v>
      </c>
      <c r="L14" s="24"/>
      <c r="M14" s="65">
        <v>20</v>
      </c>
      <c r="N14" s="144"/>
      <c r="O14" s="40"/>
      <c r="P14" s="263"/>
    </row>
    <row r="15" spans="3:16" ht="12.75" customHeight="1" thickBot="1">
      <c r="C15" s="208" t="s">
        <v>65</v>
      </c>
      <c r="D15" s="208"/>
      <c r="E15" s="198">
        <f>+E14+E12+E11+E13</f>
        <v>1316</v>
      </c>
      <c r="F15" s="208"/>
      <c r="G15" s="198">
        <f>+G14+G12+G11+G13</f>
        <v>1263</v>
      </c>
      <c r="H15" s="208"/>
      <c r="I15" s="198">
        <f>+I14+I12+I11+I13</f>
        <v>1380</v>
      </c>
      <c r="J15" s="208"/>
      <c r="K15" s="198">
        <f>+K14+K12+K11+K13</f>
        <v>1331</v>
      </c>
      <c r="L15" s="208"/>
      <c r="M15" s="198">
        <f>+M14+M12+M11+M13</f>
        <v>1191</v>
      </c>
      <c r="N15" s="514"/>
      <c r="O15" s="219"/>
      <c r="P15" s="263"/>
    </row>
    <row r="16" spans="3:16" ht="7.5" customHeight="1" thickTop="1">
      <c r="C16" s="56"/>
      <c r="D16" s="56"/>
      <c r="E16" s="223"/>
      <c r="F16" s="56"/>
      <c r="G16" s="223"/>
      <c r="H16" s="56"/>
      <c r="I16" s="223"/>
      <c r="J16" s="56"/>
      <c r="K16" s="223"/>
      <c r="L16" s="56"/>
      <c r="M16" s="223"/>
      <c r="N16" s="515"/>
      <c r="O16" s="223"/>
      <c r="P16" s="263"/>
    </row>
    <row r="17" spans="3:64" ht="11.25" customHeight="1">
      <c r="C17" s="196" t="s">
        <v>397</v>
      </c>
      <c r="D17" s="196"/>
      <c r="E17" s="229"/>
      <c r="F17" s="196"/>
      <c r="G17" s="229"/>
      <c r="H17" s="196"/>
      <c r="I17" s="229"/>
      <c r="J17" s="196"/>
      <c r="K17" s="229"/>
      <c r="L17" s="196"/>
      <c r="M17" s="229"/>
      <c r="N17" s="516"/>
      <c r="O17" s="223"/>
      <c r="P17" s="263"/>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row>
    <row r="18" spans="3:16" ht="13.5" customHeight="1">
      <c r="C18" s="24" t="s">
        <v>271</v>
      </c>
      <c r="D18" s="24"/>
      <c r="E18" s="33">
        <v>9502</v>
      </c>
      <c r="F18" s="24"/>
      <c r="G18" s="33">
        <v>9794</v>
      </c>
      <c r="H18" s="24"/>
      <c r="I18" s="33">
        <v>9799</v>
      </c>
      <c r="J18" s="24"/>
      <c r="K18" s="33">
        <v>10072</v>
      </c>
      <c r="L18" s="24"/>
      <c r="M18" s="33">
        <v>9936</v>
      </c>
      <c r="N18" s="144"/>
      <c r="O18" s="34"/>
      <c r="P18" s="263"/>
    </row>
    <row r="19" spans="3:16" ht="13.5" customHeight="1">
      <c r="C19" s="24" t="s">
        <v>279</v>
      </c>
      <c r="D19" s="24"/>
      <c r="E19" s="65">
        <v>3535</v>
      </c>
      <c r="F19" s="24"/>
      <c r="G19" s="65">
        <v>3565</v>
      </c>
      <c r="H19" s="24"/>
      <c r="I19" s="65">
        <v>3954</v>
      </c>
      <c r="J19" s="24"/>
      <c r="K19" s="65">
        <v>4057</v>
      </c>
      <c r="L19" s="24"/>
      <c r="M19" s="65">
        <v>4240</v>
      </c>
      <c r="N19" s="144"/>
      <c r="O19" s="40"/>
      <c r="P19" s="263"/>
    </row>
    <row r="20" spans="3:16" ht="13.5" customHeight="1">
      <c r="C20" s="24" t="s">
        <v>398</v>
      </c>
      <c r="D20" s="24"/>
      <c r="E20" s="65">
        <v>676</v>
      </c>
      <c r="F20" s="24"/>
      <c r="G20" s="65">
        <v>676</v>
      </c>
      <c r="H20" s="24"/>
      <c r="I20" s="65">
        <v>683</v>
      </c>
      <c r="J20" s="24"/>
      <c r="K20" s="65">
        <v>683</v>
      </c>
      <c r="L20" s="24"/>
      <c r="M20" s="65">
        <v>699</v>
      </c>
      <c r="N20" s="144"/>
      <c r="O20" s="40"/>
      <c r="P20" s="263"/>
    </row>
    <row r="21" spans="3:16" ht="13.5" customHeight="1">
      <c r="C21" s="24" t="s">
        <v>399</v>
      </c>
      <c r="D21" s="24"/>
      <c r="E21" s="65">
        <v>200</v>
      </c>
      <c r="F21" s="24"/>
      <c r="G21" s="65">
        <v>135</v>
      </c>
      <c r="H21" s="24"/>
      <c r="I21" s="65">
        <v>180</v>
      </c>
      <c r="J21" s="24"/>
      <c r="K21" s="65">
        <v>179</v>
      </c>
      <c r="L21" s="24"/>
      <c r="M21" s="65">
        <v>184</v>
      </c>
      <c r="N21" s="144"/>
      <c r="O21" s="40"/>
      <c r="P21" s="263"/>
    </row>
    <row r="22" spans="3:16" ht="12.75" customHeight="1" thickBot="1">
      <c r="C22" s="208" t="s">
        <v>65</v>
      </c>
      <c r="D22" s="208"/>
      <c r="E22" s="198">
        <f>+E21+E19+E18+E20</f>
        <v>13913</v>
      </c>
      <c r="F22" s="208"/>
      <c r="G22" s="198">
        <f>+G21+G19+G18+G20</f>
        <v>14170</v>
      </c>
      <c r="H22" s="208"/>
      <c r="I22" s="198">
        <f>+I21+I19+I18+I20</f>
        <v>14616</v>
      </c>
      <c r="J22" s="208"/>
      <c r="K22" s="198">
        <f>+K21+K19+K18+K20</f>
        <v>14991</v>
      </c>
      <c r="L22" s="208"/>
      <c r="M22" s="198">
        <f>+M21+M19+M18+M20</f>
        <v>15059</v>
      </c>
      <c r="N22" s="514"/>
      <c r="O22" s="219"/>
      <c r="P22" s="263"/>
    </row>
    <row r="23" spans="5:16" ht="7.5" customHeight="1" thickTop="1">
      <c r="E23" s="238"/>
      <c r="G23" s="238"/>
      <c r="I23" s="238"/>
      <c r="K23" s="238"/>
      <c r="M23" s="238"/>
      <c r="N23" s="496"/>
      <c r="O23" s="517"/>
      <c r="P23" s="263"/>
    </row>
    <row r="24" spans="3:64" ht="11.25" customHeight="1">
      <c r="C24" s="196" t="s">
        <v>182</v>
      </c>
      <c r="D24" s="196"/>
      <c r="E24" s="239"/>
      <c r="F24" s="196"/>
      <c r="G24" s="239"/>
      <c r="H24" s="196"/>
      <c r="I24" s="239"/>
      <c r="J24" s="196"/>
      <c r="K24" s="239"/>
      <c r="L24" s="196"/>
      <c r="M24" s="239"/>
      <c r="N24" s="516"/>
      <c r="O24" s="518"/>
      <c r="P24" s="263"/>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row>
    <row r="25" spans="3:19" ht="13.5" customHeight="1">
      <c r="C25" s="24" t="s">
        <v>271</v>
      </c>
      <c r="D25" s="24"/>
      <c r="E25" s="33">
        <f>E11+E18</f>
        <v>10408</v>
      </c>
      <c r="F25" s="24"/>
      <c r="G25" s="33">
        <f>G11+G18</f>
        <v>10649</v>
      </c>
      <c r="H25" s="24"/>
      <c r="I25" s="33">
        <f>I11+I18</f>
        <v>10807</v>
      </c>
      <c r="J25" s="24"/>
      <c r="K25" s="33">
        <f>K11+K18</f>
        <v>11012</v>
      </c>
      <c r="L25" s="24"/>
      <c r="M25" s="33">
        <f>+M18+M11</f>
        <v>10747</v>
      </c>
      <c r="N25" s="144"/>
      <c r="O25" s="34"/>
      <c r="P25" s="263"/>
      <c r="S25" s="269"/>
    </row>
    <row r="26" spans="3:16" ht="13.5" customHeight="1">
      <c r="C26" s="24" t="s">
        <v>279</v>
      </c>
      <c r="D26" s="24"/>
      <c r="E26" s="65">
        <f>E12+E19</f>
        <v>3893</v>
      </c>
      <c r="F26" s="24"/>
      <c r="G26" s="65">
        <f>G12+G19</f>
        <v>3911</v>
      </c>
      <c r="H26" s="24"/>
      <c r="I26" s="65">
        <f>I12+I19</f>
        <v>4267</v>
      </c>
      <c r="J26" s="24"/>
      <c r="K26" s="65">
        <f>K12+K19</f>
        <v>4371</v>
      </c>
      <c r="L26" s="24"/>
      <c r="M26" s="65">
        <f>+M12+M19</f>
        <v>4547</v>
      </c>
      <c r="N26" s="144"/>
      <c r="O26" s="40"/>
      <c r="P26" s="263"/>
    </row>
    <row r="27" spans="3:16" ht="13.5" customHeight="1">
      <c r="C27" s="24" t="s">
        <v>398</v>
      </c>
      <c r="D27" s="24"/>
      <c r="E27" s="65">
        <f>E13+E20</f>
        <v>712</v>
      </c>
      <c r="F27" s="24"/>
      <c r="G27" s="65">
        <f>G13+G20</f>
        <v>713</v>
      </c>
      <c r="H27" s="24"/>
      <c r="I27" s="65">
        <f>I13+I20</f>
        <v>724</v>
      </c>
      <c r="J27" s="24"/>
      <c r="K27" s="65">
        <f>K13+K20</f>
        <v>742</v>
      </c>
      <c r="L27" s="24"/>
      <c r="M27" s="65">
        <f>+M13+M20</f>
        <v>752</v>
      </c>
      <c r="N27" s="144"/>
      <c r="O27" s="40"/>
      <c r="P27" s="263"/>
    </row>
    <row r="28" spans="3:16" ht="13.5" customHeight="1">
      <c r="C28" s="24" t="s">
        <v>399</v>
      </c>
      <c r="D28" s="24"/>
      <c r="E28" s="65">
        <f>E14+E21</f>
        <v>216</v>
      </c>
      <c r="F28" s="24"/>
      <c r="G28" s="65">
        <f>G14+G21</f>
        <v>160</v>
      </c>
      <c r="H28" s="24"/>
      <c r="I28" s="65">
        <f>I14+I21</f>
        <v>198</v>
      </c>
      <c r="J28" s="24"/>
      <c r="K28" s="65">
        <f>K14+K21</f>
        <v>197</v>
      </c>
      <c r="L28" s="24"/>
      <c r="M28" s="65">
        <f>+M14+M21</f>
        <v>204</v>
      </c>
      <c r="N28" s="144"/>
      <c r="O28" s="40"/>
      <c r="P28" s="263"/>
    </row>
    <row r="29" spans="3:64" ht="13.5" thickBot="1">
      <c r="C29" s="208" t="s">
        <v>65</v>
      </c>
      <c r="D29" s="208"/>
      <c r="E29" s="198">
        <f>+E28+E26+E25+E27</f>
        <v>15229</v>
      </c>
      <c r="F29" s="208"/>
      <c r="G29" s="198">
        <f>+G28+G26+G25+G27</f>
        <v>15433</v>
      </c>
      <c r="H29" s="208"/>
      <c r="I29" s="198">
        <f>+I28+I26+I25+I27</f>
        <v>15996</v>
      </c>
      <c r="J29" s="208"/>
      <c r="K29" s="198">
        <f>+K28+K26+K25+K27</f>
        <v>16322</v>
      </c>
      <c r="L29" s="208"/>
      <c r="M29" s="198">
        <f>+M28+M26+M25+M27</f>
        <v>16250</v>
      </c>
      <c r="N29" s="514"/>
      <c r="O29" s="219"/>
      <c r="P29" s="263"/>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row>
    <row r="30" spans="3:64" ht="7.5" customHeight="1" thickTop="1">
      <c r="C30" s="56"/>
      <c r="D30" s="56"/>
      <c r="E30" s="223"/>
      <c r="F30" s="56"/>
      <c r="G30" s="223"/>
      <c r="H30" s="56"/>
      <c r="I30" s="223"/>
      <c r="J30" s="56"/>
      <c r="K30" s="223"/>
      <c r="L30" s="56"/>
      <c r="M30" s="223"/>
      <c r="N30" s="515"/>
      <c r="O30" s="223"/>
      <c r="P30" s="263"/>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row>
    <row r="31" spans="3:64" ht="11.25" customHeight="1">
      <c r="C31" s="196" t="s">
        <v>391</v>
      </c>
      <c r="D31" s="196"/>
      <c r="E31" s="240"/>
      <c r="F31" s="196"/>
      <c r="G31" s="240"/>
      <c r="H31" s="196"/>
      <c r="I31" s="240"/>
      <c r="J31" s="196"/>
      <c r="K31" s="240"/>
      <c r="L31" s="196"/>
      <c r="M31" s="240"/>
      <c r="N31" s="516"/>
      <c r="O31" s="519"/>
      <c r="P31" s="263"/>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row>
    <row r="32" spans="3:16" ht="13.5" customHeight="1">
      <c r="C32" s="24" t="s">
        <v>271</v>
      </c>
      <c r="D32" s="24"/>
      <c r="E32" s="33">
        <v>-501</v>
      </c>
      <c r="F32" s="24"/>
      <c r="G32" s="33">
        <v>-559</v>
      </c>
      <c r="H32" s="24"/>
      <c r="I32" s="33">
        <v>-538</v>
      </c>
      <c r="J32" s="24"/>
      <c r="K32" s="33">
        <v>-565</v>
      </c>
      <c r="L32" s="24"/>
      <c r="M32" s="33">
        <v>-586</v>
      </c>
      <c r="N32" s="144"/>
      <c r="O32" s="34"/>
      <c r="P32" s="263"/>
    </row>
    <row r="33" spans="3:16" ht="13.5" customHeight="1">
      <c r="C33" s="24" t="s">
        <v>272</v>
      </c>
      <c r="D33" s="24"/>
      <c r="E33" s="65">
        <v>-121</v>
      </c>
      <c r="F33" s="24"/>
      <c r="G33" s="65">
        <v>-129</v>
      </c>
      <c r="H33" s="24"/>
      <c r="I33" s="65">
        <v>-166</v>
      </c>
      <c r="J33" s="24"/>
      <c r="K33" s="65">
        <v>-164</v>
      </c>
      <c r="L33" s="24"/>
      <c r="M33" s="65">
        <v>-174</v>
      </c>
      <c r="N33" s="144"/>
      <c r="O33" s="40"/>
      <c r="P33" s="263"/>
    </row>
    <row r="34" spans="3:16" ht="13.5" customHeight="1">
      <c r="C34" s="24" t="s">
        <v>398</v>
      </c>
      <c r="D34" s="24"/>
      <c r="E34" s="65">
        <v>-7</v>
      </c>
      <c r="F34" s="24"/>
      <c r="G34" s="65">
        <v>-6</v>
      </c>
      <c r="H34" s="24"/>
      <c r="I34" s="65">
        <v>-10</v>
      </c>
      <c r="J34" s="24"/>
      <c r="K34" s="65">
        <v>-9</v>
      </c>
      <c r="L34" s="24"/>
      <c r="M34" s="65">
        <v>-11</v>
      </c>
      <c r="N34" s="144"/>
      <c r="O34" s="40"/>
      <c r="P34" s="263"/>
    </row>
    <row r="35" spans="3:16" ht="13.5" customHeight="1">
      <c r="C35" s="24" t="s">
        <v>399</v>
      </c>
      <c r="D35" s="24"/>
      <c r="E35" s="65">
        <v>-20</v>
      </c>
      <c r="F35" s="24"/>
      <c r="G35" s="65">
        <v>-10</v>
      </c>
      <c r="H35" s="24"/>
      <c r="I35" s="65">
        <v>-12</v>
      </c>
      <c r="J35" s="24"/>
      <c r="K35" s="65">
        <v>-15</v>
      </c>
      <c r="L35" s="24"/>
      <c r="M35" s="65">
        <v>-16</v>
      </c>
      <c r="N35" s="144"/>
      <c r="O35" s="40"/>
      <c r="P35" s="263"/>
    </row>
    <row r="36" spans="3:16" ht="12.75" customHeight="1" thickBot="1">
      <c r="C36" s="24" t="s">
        <v>65</v>
      </c>
      <c r="D36" s="24"/>
      <c r="E36" s="198">
        <f>+E35+E33+E32+E34</f>
        <v>-649</v>
      </c>
      <c r="F36" s="24"/>
      <c r="G36" s="198">
        <f>+G35+G33+G32+G34</f>
        <v>-704</v>
      </c>
      <c r="H36" s="24"/>
      <c r="I36" s="198">
        <f>+I35+I33+I32+I34</f>
        <v>-726</v>
      </c>
      <c r="J36" s="24"/>
      <c r="K36" s="198">
        <f>+K35+K33+K32+K34</f>
        <v>-753</v>
      </c>
      <c r="L36" s="24"/>
      <c r="M36" s="198">
        <f>+M35+M33+M32+M34</f>
        <v>-787</v>
      </c>
      <c r="N36" s="144"/>
      <c r="O36" s="219"/>
      <c r="P36" s="263"/>
    </row>
    <row r="37" spans="3:64" ht="8.25" customHeight="1" thickTop="1">
      <c r="C37" s="56"/>
      <c r="D37" s="56"/>
      <c r="E37" s="223"/>
      <c r="F37" s="56"/>
      <c r="G37" s="223"/>
      <c r="H37" s="56"/>
      <c r="I37" s="223"/>
      <c r="J37" s="56"/>
      <c r="K37" s="223"/>
      <c r="L37" s="56"/>
      <c r="M37" s="223"/>
      <c r="N37" s="515"/>
      <c r="O37" s="223"/>
      <c r="P37" s="263"/>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row>
    <row r="38" spans="3:64" ht="11.25" customHeight="1">
      <c r="C38" s="196" t="s">
        <v>160</v>
      </c>
      <c r="D38" s="196"/>
      <c r="E38" s="240"/>
      <c r="F38" s="196"/>
      <c r="G38" s="240"/>
      <c r="H38" s="196"/>
      <c r="I38" s="240"/>
      <c r="J38" s="196"/>
      <c r="K38" s="240"/>
      <c r="L38" s="196"/>
      <c r="M38" s="240"/>
      <c r="N38" s="516"/>
      <c r="O38" s="519"/>
      <c r="P38" s="263"/>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row>
    <row r="39" spans="3:16" ht="13.5" customHeight="1">
      <c r="C39" s="24" t="s">
        <v>271</v>
      </c>
      <c r="D39" s="24"/>
      <c r="E39" s="33">
        <f>E25+E32</f>
        <v>9907</v>
      </c>
      <c r="F39" s="24"/>
      <c r="G39" s="33">
        <f>G25+G32</f>
        <v>10090</v>
      </c>
      <c r="H39" s="24"/>
      <c r="I39" s="33">
        <f>I25+I32</f>
        <v>10269</v>
      </c>
      <c r="J39" s="24"/>
      <c r="K39" s="33">
        <f>K25+K32</f>
        <v>10447</v>
      </c>
      <c r="L39" s="24"/>
      <c r="M39" s="33">
        <f>M25+M32</f>
        <v>10161</v>
      </c>
      <c r="N39" s="144"/>
      <c r="O39" s="34"/>
      <c r="P39" s="263"/>
    </row>
    <row r="40" spans="3:16" ht="13.5" customHeight="1">
      <c r="C40" s="24" t="s">
        <v>272</v>
      </c>
      <c r="D40" s="24"/>
      <c r="E40" s="65">
        <f>E26+E33</f>
        <v>3772</v>
      </c>
      <c r="F40" s="24"/>
      <c r="G40" s="65">
        <f>G26+G33</f>
        <v>3782</v>
      </c>
      <c r="H40" s="24"/>
      <c r="I40" s="65">
        <f>I26+I33</f>
        <v>4101</v>
      </c>
      <c r="J40" s="24"/>
      <c r="K40" s="65">
        <f>K26+K33</f>
        <v>4207</v>
      </c>
      <c r="L40" s="24"/>
      <c r="M40" s="65">
        <f>M26+M33</f>
        <v>4373</v>
      </c>
      <c r="N40" s="144"/>
      <c r="O40" s="40"/>
      <c r="P40" s="263"/>
    </row>
    <row r="41" spans="3:16" ht="13.5" customHeight="1">
      <c r="C41" s="24" t="s">
        <v>398</v>
      </c>
      <c r="D41" s="24"/>
      <c r="E41" s="65">
        <f>E27+E34</f>
        <v>705</v>
      </c>
      <c r="F41" s="24"/>
      <c r="G41" s="65">
        <f>G27+G34</f>
        <v>707</v>
      </c>
      <c r="H41" s="24"/>
      <c r="I41" s="65">
        <f>I27+I34</f>
        <v>714</v>
      </c>
      <c r="J41" s="24"/>
      <c r="K41" s="65">
        <f>K27+K34</f>
        <v>733</v>
      </c>
      <c r="L41" s="24"/>
      <c r="M41" s="65">
        <f>M27+M34</f>
        <v>741</v>
      </c>
      <c r="N41" s="144"/>
      <c r="O41" s="40"/>
      <c r="P41" s="263"/>
    </row>
    <row r="42" spans="3:16" ht="13.5" customHeight="1">
      <c r="C42" s="24" t="s">
        <v>399</v>
      </c>
      <c r="D42" s="24"/>
      <c r="E42" s="65">
        <f>E28+E35</f>
        <v>196</v>
      </c>
      <c r="F42" s="24"/>
      <c r="G42" s="65">
        <f>G28+G35</f>
        <v>150</v>
      </c>
      <c r="H42" s="24"/>
      <c r="I42" s="65">
        <f>I28+I35</f>
        <v>186</v>
      </c>
      <c r="J42" s="24"/>
      <c r="K42" s="65">
        <f>K28+K35</f>
        <v>182</v>
      </c>
      <c r="L42" s="24"/>
      <c r="M42" s="65">
        <f>M28+M35</f>
        <v>188</v>
      </c>
      <c r="N42" s="144"/>
      <c r="O42" s="40"/>
      <c r="P42" s="263"/>
    </row>
    <row r="43" spans="3:16" ht="12.75" customHeight="1" thickBot="1">
      <c r="C43" s="24" t="s">
        <v>65</v>
      </c>
      <c r="D43" s="24"/>
      <c r="E43" s="198">
        <f>+E42+E40+E39+E41</f>
        <v>14580</v>
      </c>
      <c r="F43" s="24"/>
      <c r="G43" s="198">
        <f>+G42+G40+G39+G41</f>
        <v>14729</v>
      </c>
      <c r="H43" s="24"/>
      <c r="I43" s="198">
        <f>+I42+I40+I39+I41</f>
        <v>15270</v>
      </c>
      <c r="J43" s="24"/>
      <c r="K43" s="198">
        <f>+K42+K40+K39+K41</f>
        <v>15569</v>
      </c>
      <c r="L43" s="24"/>
      <c r="M43" s="198">
        <f>+M42+M40+M39+M41</f>
        <v>15463</v>
      </c>
      <c r="N43" s="144"/>
      <c r="O43" s="219"/>
      <c r="P43" s="263"/>
    </row>
    <row r="44" spans="3:16" ht="12.75" customHeight="1" thickTop="1">
      <c r="C44" s="24"/>
      <c r="D44" s="24"/>
      <c r="E44" s="24"/>
      <c r="F44" s="24"/>
      <c r="G44" s="24"/>
      <c r="H44" s="24"/>
      <c r="I44" s="24"/>
      <c r="J44" s="24"/>
      <c r="K44" s="24"/>
      <c r="L44" s="24"/>
      <c r="M44" s="24"/>
      <c r="N44" s="24"/>
      <c r="O44" s="64"/>
      <c r="P44"/>
    </row>
    <row r="45" spans="3:16" ht="12.75" customHeight="1">
      <c r="C45" s="266"/>
      <c r="D45" s="266"/>
      <c r="E45" s="266"/>
      <c r="F45" s="266"/>
      <c r="G45" s="266"/>
      <c r="H45" s="266"/>
      <c r="I45" s="266"/>
      <c r="J45" s="266"/>
      <c r="K45" s="266"/>
      <c r="L45" s="24"/>
      <c r="M45" s="24"/>
      <c r="N45" s="24"/>
      <c r="O45" s="24"/>
      <c r="P45"/>
    </row>
    <row r="46" spans="3:16" ht="12.75" customHeight="1">
      <c r="C46" s="266"/>
      <c r="D46" s="266"/>
      <c r="E46" s="266"/>
      <c r="F46" s="266"/>
      <c r="G46" s="266"/>
      <c r="H46" s="266"/>
      <c r="I46" s="266"/>
      <c r="J46" s="266"/>
      <c r="K46" s="266"/>
      <c r="L46" s="24"/>
      <c r="M46" s="24"/>
      <c r="N46" s="24"/>
      <c r="O46" s="24"/>
      <c r="P46"/>
    </row>
    <row r="47" spans="3:16" ht="12.75" customHeight="1">
      <c r="C47"/>
      <c r="D47"/>
      <c r="E47"/>
      <c r="F47"/>
      <c r="G47"/>
      <c r="H47"/>
      <c r="I47"/>
      <c r="J47"/>
      <c r="K47"/>
      <c r="L47" s="24"/>
      <c r="M47" s="24"/>
      <c r="N47" s="24"/>
      <c r="O47" s="24"/>
      <c r="P47"/>
    </row>
    <row r="48" spans="3:16" ht="12.75" customHeight="1">
      <c r="C48" s="24"/>
      <c r="D48" s="24"/>
      <c r="E48" s="24"/>
      <c r="F48" s="24"/>
      <c r="G48" s="24"/>
      <c r="H48" s="24"/>
      <c r="I48" s="24"/>
      <c r="J48" s="24"/>
      <c r="K48" s="24"/>
      <c r="L48" s="24"/>
      <c r="M48" s="24"/>
      <c r="N48" s="24"/>
      <c r="O48" s="24"/>
      <c r="P48"/>
    </row>
    <row r="49" spans="3:16" ht="12.75" customHeight="1">
      <c r="C49" s="24"/>
      <c r="D49" s="24"/>
      <c r="E49" s="24"/>
      <c r="F49" s="24"/>
      <c r="G49" s="24"/>
      <c r="H49" s="24"/>
      <c r="I49" s="24"/>
      <c r="J49" s="24"/>
      <c r="K49" s="24"/>
      <c r="L49" s="24"/>
      <c r="M49" s="24"/>
      <c r="N49" s="24"/>
      <c r="O49" s="24"/>
      <c r="P49"/>
    </row>
    <row r="50" spans="3:16" ht="12.75" customHeight="1">
      <c r="C50" s="24"/>
      <c r="D50" s="24"/>
      <c r="E50" s="24"/>
      <c r="F50" s="24"/>
      <c r="G50" s="24"/>
      <c r="H50" s="24"/>
      <c r="I50" s="24"/>
      <c r="J50" s="24"/>
      <c r="K50" s="24"/>
      <c r="L50" s="24"/>
      <c r="M50" s="24"/>
      <c r="N50" s="24"/>
      <c r="O50" s="24"/>
      <c r="P50"/>
    </row>
    <row r="51" spans="3:16" ht="12.75" customHeight="1">
      <c r="C51" s="24"/>
      <c r="D51" s="24"/>
      <c r="E51" s="24"/>
      <c r="F51" s="24"/>
      <c r="G51" s="24"/>
      <c r="H51" s="24"/>
      <c r="I51" s="24"/>
      <c r="J51" s="24"/>
      <c r="K51" s="24"/>
      <c r="L51" s="24"/>
      <c r="M51" s="24"/>
      <c r="N51" s="24"/>
      <c r="O51" s="24"/>
      <c r="P51"/>
    </row>
    <row r="52" spans="3:16" ht="12.75" customHeight="1">
      <c r="C52" s="24"/>
      <c r="D52" s="24"/>
      <c r="E52" s="24"/>
      <c r="F52" s="24"/>
      <c r="G52" s="24"/>
      <c r="H52" s="24"/>
      <c r="I52" s="24"/>
      <c r="J52" s="24"/>
      <c r="K52" s="24"/>
      <c r="L52" s="24"/>
      <c r="M52" s="24"/>
      <c r="N52" s="24"/>
      <c r="O52" s="24"/>
      <c r="P52" s="24"/>
    </row>
    <row r="53" spans="1:54" ht="12.75">
      <c r="A53" s="220"/>
      <c r="B53" s="221"/>
      <c r="L53" s="252"/>
      <c r="M53" s="252"/>
      <c r="N53" s="252"/>
      <c r="O53" s="252"/>
      <c r="P53" s="252"/>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row>
    <row r="54" spans="1:54" ht="12" customHeight="1">
      <c r="A54" s="220"/>
      <c r="B54" s="220"/>
      <c r="C54" s="222"/>
      <c r="D54" s="222"/>
      <c r="E54" s="222"/>
      <c r="F54" s="222"/>
      <c r="G54" s="222"/>
      <c r="H54" s="222"/>
      <c r="I54" s="222"/>
      <c r="J54" s="222"/>
      <c r="K54" s="222"/>
      <c r="L54" s="222"/>
      <c r="M54" s="222"/>
      <c r="N54" s="222"/>
      <c r="O54" s="222"/>
      <c r="P54" s="222"/>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row>
    <row r="55" spans="18:54" ht="12" customHeight="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row>
    <row r="56" spans="3:57" ht="12" customHeight="1">
      <c r="C56" s="71"/>
      <c r="D56" s="71"/>
      <c r="E56" s="71"/>
      <c r="F56" s="71"/>
      <c r="G56" s="71"/>
      <c r="H56" s="71"/>
      <c r="I56" s="71"/>
      <c r="J56" s="71"/>
      <c r="K56" s="71"/>
      <c r="L56" s="71"/>
      <c r="M56" s="71"/>
      <c r="N56" s="71"/>
      <c r="O56" s="71"/>
      <c r="P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row>
    <row r="57" spans="3:57" ht="12.75" customHeight="1">
      <c r="C57" s="71"/>
      <c r="D57" s="71"/>
      <c r="E57" s="71"/>
      <c r="F57" s="71"/>
      <c r="G57" s="71"/>
      <c r="H57" s="71"/>
      <c r="I57" s="71"/>
      <c r="J57" s="71"/>
      <c r="K57" s="71"/>
      <c r="L57" s="71"/>
      <c r="M57" s="71"/>
      <c r="N57" s="71"/>
      <c r="O57" s="71"/>
      <c r="P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row>
    <row r="58" spans="3:57" ht="11.25" customHeight="1">
      <c r="C58" s="71"/>
      <c r="D58" s="71"/>
      <c r="E58" s="71"/>
      <c r="F58" s="71"/>
      <c r="G58" s="71"/>
      <c r="H58" s="71"/>
      <c r="I58" s="71"/>
      <c r="J58" s="71"/>
      <c r="K58" s="71"/>
      <c r="L58" s="71"/>
      <c r="M58" s="71"/>
      <c r="N58" s="71"/>
      <c r="O58" s="71"/>
      <c r="P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row>
    <row r="59" ht="12" customHeight="1"/>
    <row r="60" ht="12.75" customHeight="1"/>
    <row r="61" ht="15" customHeight="1"/>
    <row r="62" ht="12" customHeight="1"/>
    <row r="63" spans="13:16" ht="12" customHeight="1">
      <c r="M63"/>
      <c r="N63"/>
      <c r="O63"/>
      <c r="P63"/>
    </row>
    <row r="64" spans="15:19" ht="12" customHeight="1">
      <c r="O64"/>
      <c r="P64"/>
      <c r="R64"/>
      <c r="S64"/>
    </row>
    <row r="65" spans="1:19" ht="12" customHeight="1">
      <c r="A65" s="553" t="s">
        <v>420</v>
      </c>
      <c r="C65" s="241" t="s">
        <v>201</v>
      </c>
      <c r="D65" s="241"/>
      <c r="E65" s="242">
        <v>39082</v>
      </c>
      <c r="F65" s="241"/>
      <c r="G65" s="552">
        <v>38990</v>
      </c>
      <c r="H65" s="241"/>
      <c r="I65" s="552">
        <v>38898</v>
      </c>
      <c r="J65" s="241"/>
      <c r="K65" s="242">
        <v>38807</v>
      </c>
      <c r="L65" s="241"/>
      <c r="M65" s="242">
        <v>38717</v>
      </c>
      <c r="N65" s="241"/>
      <c r="O65"/>
      <c r="P65"/>
      <c r="R65"/>
      <c r="S65"/>
    </row>
    <row r="66" spans="3:19" ht="12" customHeight="1">
      <c r="C66" s="243" t="s">
        <v>160</v>
      </c>
      <c r="D66" s="243"/>
      <c r="E66" s="284">
        <f>+E43</f>
        <v>14580</v>
      </c>
      <c r="F66" s="243"/>
      <c r="G66" s="284">
        <f>+G43</f>
        <v>14729</v>
      </c>
      <c r="H66" s="243"/>
      <c r="I66" s="284">
        <f>+I43</f>
        <v>15270</v>
      </c>
      <c r="J66" s="243"/>
      <c r="K66" s="284">
        <f>+K43</f>
        <v>15569</v>
      </c>
      <c r="L66" s="243"/>
      <c r="M66" s="284">
        <f>+M43</f>
        <v>15463</v>
      </c>
      <c r="N66" s="243"/>
      <c r="O66"/>
      <c r="P66"/>
      <c r="R66"/>
      <c r="S66"/>
    </row>
    <row r="67" spans="3:19" ht="12" customHeight="1">
      <c r="C67" s="534" t="s">
        <v>375</v>
      </c>
      <c r="D67" s="534"/>
      <c r="E67" s="284">
        <f>-'Reinsurance Recoverable 4'!H32</f>
        <v>-1316</v>
      </c>
      <c r="F67" s="243"/>
      <c r="G67" s="284">
        <f>-'Reinsurance Recoverable 4'!H27</f>
        <v>-1263</v>
      </c>
      <c r="H67" s="243"/>
      <c r="I67" s="284">
        <f>-'Reinsurance Recoverable 4'!H22</f>
        <v>-1380</v>
      </c>
      <c r="J67" s="243"/>
      <c r="K67" s="284">
        <f>-'Reinsurance Recoverable 4'!H17</f>
        <v>-1331</v>
      </c>
      <c r="L67" s="243"/>
      <c r="M67" s="284">
        <f>-'Reinsurance Recoverable 4'!H12</f>
        <v>-1191</v>
      </c>
      <c r="N67" s="243"/>
      <c r="O67"/>
      <c r="P67"/>
      <c r="R67"/>
      <c r="S67"/>
    </row>
    <row r="68" spans="3:19" ht="12" customHeight="1">
      <c r="C68" s="534" t="s">
        <v>392</v>
      </c>
      <c r="D68" s="534"/>
      <c r="E68" s="284">
        <f>+'Reinsurance Recoverable 4'!H33</f>
        <v>255</v>
      </c>
      <c r="F68" s="243"/>
      <c r="G68" s="284">
        <f>+'Reinsurance Recoverable 4'!H28</f>
        <v>252</v>
      </c>
      <c r="H68" s="243"/>
      <c r="I68" s="284">
        <f>'Reinsurance Recoverable 4'!H23</f>
        <v>291</v>
      </c>
      <c r="J68" s="243"/>
      <c r="K68" s="490">
        <f>+'Reinsurance Recoverable 4'!H18</f>
        <v>326</v>
      </c>
      <c r="L68" s="243"/>
      <c r="M68" s="284">
        <f>+'Reinsurance Recoverable 4'!H13</f>
        <v>336</v>
      </c>
      <c r="N68" s="243"/>
      <c r="O68"/>
      <c r="P68"/>
      <c r="R68"/>
      <c r="S68"/>
    </row>
    <row r="69" spans="3:19" ht="12" customHeight="1">
      <c r="C69" s="534" t="s">
        <v>376</v>
      </c>
      <c r="D69" s="534"/>
      <c r="E69" s="577">
        <v>-10</v>
      </c>
      <c r="F69" s="577"/>
      <c r="G69" s="577">
        <v>-9</v>
      </c>
      <c r="H69" s="577"/>
      <c r="I69" s="577">
        <v>-10</v>
      </c>
      <c r="J69" s="577"/>
      <c r="K69" s="577">
        <v>-10</v>
      </c>
      <c r="L69" s="577"/>
      <c r="M69" s="577">
        <v>-11</v>
      </c>
      <c r="N69" s="243"/>
      <c r="O69"/>
      <c r="P69"/>
      <c r="R69"/>
      <c r="S69"/>
    </row>
    <row r="70" spans="3:19" ht="12" customHeight="1" thickBot="1">
      <c r="C70" s="163"/>
      <c r="D70" s="163"/>
      <c r="E70" s="244">
        <f>SUM(E66:E69)</f>
        <v>13509</v>
      </c>
      <c r="F70" s="163"/>
      <c r="G70" s="244">
        <f>SUM(G66:G69)</f>
        <v>13709</v>
      </c>
      <c r="H70" s="163"/>
      <c r="I70" s="244">
        <f>SUM(I66:I69)</f>
        <v>14171</v>
      </c>
      <c r="J70" s="163"/>
      <c r="K70" s="244">
        <f>SUM(K66:K69)</f>
        <v>14554</v>
      </c>
      <c r="L70" s="163"/>
      <c r="M70" s="244">
        <f>SUM(M66:M69)</f>
        <v>14597</v>
      </c>
      <c r="N70" s="163"/>
      <c r="O70"/>
      <c r="P70"/>
      <c r="R70"/>
      <c r="S70"/>
    </row>
    <row r="71" spans="15:19" ht="12" customHeight="1" thickTop="1">
      <c r="O71"/>
      <c r="P71"/>
      <c r="R71"/>
      <c r="S71"/>
    </row>
    <row r="72" spans="5:19" ht="12" customHeight="1">
      <c r="E72" s="368">
        <f>+'Loss Reserve Rollforward'!D51</f>
        <v>13509</v>
      </c>
      <c r="G72" s="368">
        <f>+'Loss Reserve Rollforward'!D46</f>
        <v>13709</v>
      </c>
      <c r="I72" s="368">
        <f>+'Loss Reserve Rollforward'!D40</f>
        <v>14171</v>
      </c>
      <c r="K72" s="368">
        <f>+'Loss Reserve Rollforward'!D35</f>
        <v>14554</v>
      </c>
      <c r="M72" s="368">
        <f>+'Loss Reserve Rollforward'!D30</f>
        <v>14597</v>
      </c>
      <c r="O72"/>
      <c r="P72"/>
      <c r="R72"/>
      <c r="S72"/>
    </row>
    <row r="73" spans="5:19" ht="12" customHeight="1">
      <c r="E73" s="487">
        <f>+E70-E72</f>
        <v>0</v>
      </c>
      <c r="G73" s="487">
        <f>+G70-G72</f>
        <v>0</v>
      </c>
      <c r="I73" s="487">
        <f>+I70-I72</f>
        <v>0</v>
      </c>
      <c r="K73" s="487">
        <f>+K70-K72</f>
        <v>0</v>
      </c>
      <c r="M73" s="487">
        <f>+M70-M72</f>
        <v>0</v>
      </c>
      <c r="O73"/>
      <c r="P73"/>
      <c r="R73"/>
      <c r="S73"/>
    </row>
    <row r="74" spans="15:19" ht="12" customHeight="1">
      <c r="O74"/>
      <c r="P74"/>
      <c r="R74"/>
      <c r="S74"/>
    </row>
    <row r="75" spans="13:16" ht="12" customHeight="1">
      <c r="M75"/>
      <c r="N75"/>
      <c r="O75"/>
      <c r="P75"/>
    </row>
    <row r="76" spans="13:16" ht="12" customHeight="1">
      <c r="M76"/>
      <c r="N76"/>
      <c r="O76"/>
      <c r="P76"/>
    </row>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sheetData>
  <mergeCells count="4">
    <mergeCell ref="A1:N1"/>
    <mergeCell ref="A2:N2"/>
    <mergeCell ref="A3:N3"/>
    <mergeCell ref="A4:N4"/>
  </mergeCells>
  <conditionalFormatting sqref="G73 I73 K73 M73 E73">
    <cfRule type="cellIs" priority="1" dxfId="2" operator="notEqual" stopIfTrue="1">
      <formula>0</formula>
    </cfRule>
  </conditionalFormatting>
  <hyperlinks>
    <hyperlink ref="G43" location="'Consol Bal Sheet'!j17" display="'Consol Bal Sheet'!j17"/>
    <hyperlink ref="G36" location="'Consol Bal Sheet'!j17" display="'Consol Bal Sheet'!j17"/>
    <hyperlink ref="G29" location="'Consol Bal Sheet'!j17" display="'Consol Bal Sheet'!j17"/>
    <hyperlink ref="G22" location="'Consol Bal Sheet'!j17" display="'Consol Bal Sheet'!j17"/>
    <hyperlink ref="G15" location="'Consol Bal Sheet'!j17" display="'Consol Bal Sheet'!j17"/>
    <hyperlink ref="M43" location="'Consol Bal Sheet'!j17" display="'Consol Bal Sheet'!j17"/>
    <hyperlink ref="K43" location="'Consol Bal Sheet'!j17" display="'Consol Bal Sheet'!j17"/>
    <hyperlink ref="K36" location="'Consol Bal Sheet'!j17" display="'Consol Bal Sheet'!j17"/>
    <hyperlink ref="K29" location="'Consol Bal Sheet'!j17" display="'Consol Bal Sheet'!j17"/>
    <hyperlink ref="K22" location="'Consol Bal Sheet'!j17" display="'Consol Bal Sheet'!j17"/>
    <hyperlink ref="E43" location="'Consol Bal Sheet'!E19" display="'Consol Bal Sheet'!E19"/>
    <hyperlink ref="E36" location="'Consol Bal Sheet'!j17" display="'Consol Bal Sheet'!j17"/>
    <hyperlink ref="E29" location="'Consol Bal Sheet'!j17" display="'Consol Bal Sheet'!j17"/>
    <hyperlink ref="E22" location="'Consol Bal Sheet'!j17" display="'Consol Bal Sheet'!j17"/>
    <hyperlink ref="E15" location="'Consol Bal Sheet'!j17" display="'Consol Bal Sheet'!j17"/>
  </hyperlinks>
  <printOptions/>
  <pageMargins left="0.5" right="0.5" top="0.5" bottom="0.5" header="0.75" footer="0.25"/>
  <pageSetup horizontalDpi="600" verticalDpi="600" orientation="landscape" r:id="rId2"/>
  <headerFooter alignWithMargins="0">
    <oddFooter>&amp;L&amp;A&amp;R&amp;"Arial,Regular"&amp;8Page 16</oddFooter>
  </headerFooter>
  <drawing r:id="rId1"/>
</worksheet>
</file>

<file path=xl/worksheets/sheet19.xml><?xml version="1.0" encoding="utf-8"?>
<worksheet xmlns="http://schemas.openxmlformats.org/spreadsheetml/2006/main" xmlns:r="http://schemas.openxmlformats.org/officeDocument/2006/relationships">
  <sheetPr codeName="Sheet54"/>
  <dimension ref="A1:BH50"/>
  <sheetViews>
    <sheetView workbookViewId="0" topLeftCell="A1">
      <selection activeCell="A6" sqref="A6"/>
    </sheetView>
  </sheetViews>
  <sheetFormatPr defaultColWidth="9.33203125" defaultRowHeight="12.75"/>
  <cols>
    <col min="1" max="2" width="3.33203125" style="70" customWidth="1"/>
    <col min="3" max="3" width="50.16015625" style="70" customWidth="1"/>
    <col min="4" max="6" width="12.83203125" style="70" customWidth="1"/>
    <col min="7" max="7" width="10" style="70" customWidth="1"/>
    <col min="8" max="8" width="11.5" style="70" customWidth="1"/>
    <col min="9" max="10" width="12.83203125" style="70" customWidth="1"/>
    <col min="11" max="11" width="3.83203125" style="70" customWidth="1"/>
    <col min="12" max="16384" width="10.66015625" style="70" customWidth="1"/>
  </cols>
  <sheetData>
    <row r="1" spans="1:14" ht="14.25" customHeight="1">
      <c r="A1" s="593" t="s">
        <v>96</v>
      </c>
      <c r="B1" s="593"/>
      <c r="C1" s="593"/>
      <c r="D1" s="593"/>
      <c r="E1" s="593"/>
      <c r="F1" s="593"/>
      <c r="G1" s="593"/>
      <c r="H1" s="593"/>
      <c r="I1" s="593"/>
      <c r="J1" s="593"/>
      <c r="K1" s="357"/>
      <c r="L1" s="357"/>
      <c r="M1" s="357"/>
      <c r="N1" s="357"/>
    </row>
    <row r="2" spans="1:14" ht="14.25" customHeight="1">
      <c r="A2" s="589" t="s">
        <v>368</v>
      </c>
      <c r="B2" s="589"/>
      <c r="C2" s="589"/>
      <c r="D2" s="589"/>
      <c r="E2" s="589"/>
      <c r="F2" s="589"/>
      <c r="G2" s="589"/>
      <c r="H2" s="589"/>
      <c r="I2" s="589"/>
      <c r="J2" s="589"/>
      <c r="K2" s="359"/>
      <c r="L2" s="359"/>
      <c r="M2" s="359"/>
      <c r="N2" s="359"/>
    </row>
    <row r="3" spans="1:14" ht="14.25" customHeight="1">
      <c r="A3" s="595" t="s">
        <v>154</v>
      </c>
      <c r="B3" s="595"/>
      <c r="C3" s="595"/>
      <c r="D3" s="595"/>
      <c r="E3" s="595"/>
      <c r="F3" s="595"/>
      <c r="G3" s="595"/>
      <c r="H3" s="595"/>
      <c r="I3" s="595"/>
      <c r="J3" s="595"/>
      <c r="K3" s="360"/>
      <c r="L3" s="360"/>
      <c r="M3" s="360"/>
      <c r="N3" s="360"/>
    </row>
    <row r="4" spans="1:14" ht="14.25" customHeight="1">
      <c r="A4" s="595" t="s">
        <v>170</v>
      </c>
      <c r="B4" s="595"/>
      <c r="C4" s="595"/>
      <c r="D4" s="595"/>
      <c r="E4" s="595"/>
      <c r="F4" s="595"/>
      <c r="G4" s="595"/>
      <c r="H4" s="595"/>
      <c r="I4" s="595"/>
      <c r="J4" s="595"/>
      <c r="K4" s="360"/>
      <c r="L4" s="360"/>
      <c r="M4" s="360"/>
      <c r="N4" s="360"/>
    </row>
    <row r="5" spans="3:10" ht="6" customHeight="1">
      <c r="C5" s="76"/>
      <c r="D5" s="75"/>
      <c r="E5" s="75"/>
      <c r="F5" s="75"/>
      <c r="G5" s="75"/>
      <c r="H5" s="75"/>
      <c r="I5" s="289"/>
      <c r="J5" s="290"/>
    </row>
    <row r="6" spans="3:10" ht="11.25" customHeight="1">
      <c r="C6" s="539"/>
      <c r="D6" s="75"/>
      <c r="E6" s="75"/>
      <c r="F6" s="75"/>
      <c r="G6" s="75"/>
      <c r="H6" s="75"/>
      <c r="I6" s="289"/>
      <c r="J6" s="290"/>
    </row>
    <row r="7" spans="3:9" ht="13.5" customHeight="1">
      <c r="C7" s="291" t="s">
        <v>291</v>
      </c>
      <c r="D7" s="1"/>
      <c r="E7" s="1"/>
      <c r="F7" s="1"/>
      <c r="G7" s="1"/>
      <c r="H7" s="1"/>
      <c r="I7" s="1"/>
    </row>
    <row r="8" spans="2:60" ht="13.5" customHeight="1">
      <c r="B8" s="1"/>
      <c r="D8" s="599">
        <v>38990</v>
      </c>
      <c r="E8" s="600"/>
      <c r="F8" s="600"/>
      <c r="G8" s="292"/>
      <c r="H8"/>
      <c r="I8"/>
      <c r="J8"/>
      <c r="K8" s="72"/>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row>
    <row r="9" spans="2:60" ht="11.25" customHeight="1">
      <c r="B9" s="1"/>
      <c r="C9" s="15" t="s">
        <v>292</v>
      </c>
      <c r="D9" s="411" t="s">
        <v>293</v>
      </c>
      <c r="E9" s="62" t="s">
        <v>393</v>
      </c>
      <c r="F9" s="412" t="s">
        <v>294</v>
      </c>
      <c r="G9" s="1"/>
      <c r="H9"/>
      <c r="I9"/>
      <c r="J9"/>
      <c r="K9" s="293"/>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row>
    <row r="10" spans="3:10" s="1" customFormat="1" ht="11.25" customHeight="1">
      <c r="C10" s="79" t="s">
        <v>295</v>
      </c>
      <c r="D10" s="497">
        <v>5322</v>
      </c>
      <c r="E10" s="497">
        <v>77</v>
      </c>
      <c r="F10" s="413">
        <f aca="true" t="shared" si="0" ref="F10:F17">ROUND(E10/D10,3)</f>
        <v>0.014</v>
      </c>
      <c r="G10" s="501"/>
      <c r="H10"/>
      <c r="I10"/>
      <c r="J10"/>
    </row>
    <row r="11" spans="3:10" s="1" customFormat="1" ht="11.25" customHeight="1">
      <c r="C11" s="79" t="s">
        <v>296</v>
      </c>
      <c r="D11" s="107">
        <v>2336</v>
      </c>
      <c r="E11" s="107">
        <v>69</v>
      </c>
      <c r="F11" s="413">
        <f t="shared" si="0"/>
        <v>0.03</v>
      </c>
      <c r="G11" s="501"/>
      <c r="H11"/>
      <c r="I11"/>
      <c r="J11"/>
    </row>
    <row r="12" spans="3:10" s="1" customFormat="1" ht="11.25" customHeight="1">
      <c r="C12" s="79" t="s">
        <v>297</v>
      </c>
      <c r="D12" s="107">
        <v>571</v>
      </c>
      <c r="E12" s="107">
        <v>50</v>
      </c>
      <c r="F12" s="413">
        <f>ROUND(E12/D12,3)</f>
        <v>0.088</v>
      </c>
      <c r="G12" s="501"/>
      <c r="H12"/>
      <c r="I12"/>
      <c r="J12"/>
    </row>
    <row r="13" spans="3:10" s="1" customFormat="1" ht="11.25" customHeight="1">
      <c r="C13" s="79" t="s">
        <v>298</v>
      </c>
      <c r="D13" s="107">
        <v>591</v>
      </c>
      <c r="E13" s="107">
        <v>3</v>
      </c>
      <c r="F13" s="413">
        <f t="shared" si="0"/>
        <v>0.005</v>
      </c>
      <c r="G13" s="501"/>
      <c r="H13"/>
      <c r="I13"/>
      <c r="J13"/>
    </row>
    <row r="14" spans="3:10" s="1" customFormat="1" ht="11.25" customHeight="1">
      <c r="C14" s="79" t="s">
        <v>299</v>
      </c>
      <c r="D14" s="107">
        <v>220</v>
      </c>
      <c r="E14" s="107">
        <v>1</v>
      </c>
      <c r="F14" s="413">
        <f t="shared" si="0"/>
        <v>0.005</v>
      </c>
      <c r="G14" s="501"/>
      <c r="H14"/>
      <c r="I14"/>
      <c r="J14"/>
    </row>
    <row r="15" spans="3:10" s="1" customFormat="1" ht="11.25" customHeight="1">
      <c r="C15" s="79" t="s">
        <v>300</v>
      </c>
      <c r="D15" s="107">
        <v>1259</v>
      </c>
      <c r="E15" s="107">
        <v>1</v>
      </c>
      <c r="F15" s="413">
        <f t="shared" si="0"/>
        <v>0.001</v>
      </c>
      <c r="G15" s="501"/>
      <c r="H15"/>
      <c r="I15"/>
      <c r="J15"/>
    </row>
    <row r="16" spans="3:10" s="1" customFormat="1" ht="12" customHeight="1">
      <c r="C16" s="24" t="s">
        <v>301</v>
      </c>
      <c r="D16" s="107">
        <v>350</v>
      </c>
      <c r="E16" s="107">
        <v>326</v>
      </c>
      <c r="F16" s="413">
        <f t="shared" si="0"/>
        <v>0.931</v>
      </c>
      <c r="G16" s="501"/>
      <c r="H16"/>
      <c r="I16"/>
      <c r="J16"/>
    </row>
    <row r="17" spans="3:10" s="1" customFormat="1" ht="11.25" customHeight="1" thickBot="1">
      <c r="C17" s="82" t="s">
        <v>8</v>
      </c>
      <c r="D17" s="414">
        <f>SUM(D10:D16)</f>
        <v>10649</v>
      </c>
      <c r="E17" s="414">
        <f>SUM(E10:E16)</f>
        <v>527</v>
      </c>
      <c r="F17" s="415">
        <f t="shared" si="0"/>
        <v>0.049</v>
      </c>
      <c r="G17" s="502"/>
      <c r="H17"/>
      <c r="I17"/>
      <c r="J17"/>
    </row>
    <row r="18" spans="2:60" ht="6" customHeight="1" thickTop="1">
      <c r="B18" s="1"/>
      <c r="C18" s="82"/>
      <c r="D18" s="296"/>
      <c r="E18" s="296"/>
      <c r="F18" s="297"/>
      <c r="G18" s="1"/>
      <c r="H18" s="1"/>
      <c r="I18" s="1"/>
      <c r="J18" s="40"/>
      <c r="K18" s="298"/>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row>
    <row r="19" spans="2:60" ht="11.25" customHeight="1">
      <c r="B19" s="1"/>
      <c r="C19" s="601" t="s">
        <v>524</v>
      </c>
      <c r="D19" s="602"/>
      <c r="E19" s="602"/>
      <c r="F19" s="602"/>
      <c r="G19" s="602"/>
      <c r="H19" s="588"/>
      <c r="I19" s="588"/>
      <c r="J19" s="588"/>
      <c r="K19" s="298"/>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row>
    <row r="20" spans="2:60" ht="12.75" customHeight="1">
      <c r="B20" s="1"/>
      <c r="C20" s="602"/>
      <c r="D20" s="602"/>
      <c r="E20" s="602"/>
      <c r="F20" s="602"/>
      <c r="G20" s="602"/>
      <c r="H20" s="588"/>
      <c r="I20" s="588"/>
      <c r="J20" s="588"/>
      <c r="K20" s="298"/>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row>
    <row r="21" spans="2:60" ht="5.25" customHeight="1">
      <c r="B21" s="1"/>
      <c r="C21" s="1"/>
      <c r="D21" s="1"/>
      <c r="E21" s="1"/>
      <c r="F21" s="1"/>
      <c r="G21" s="1"/>
      <c r="H21" s="1"/>
      <c r="I21" s="1"/>
      <c r="J21" s="40"/>
      <c r="K21" s="298"/>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row>
    <row r="22" spans="2:11" ht="15.75" customHeight="1">
      <c r="B22" s="1"/>
      <c r="C22" s="299" t="s">
        <v>302</v>
      </c>
      <c r="D22" s="299" t="s">
        <v>303</v>
      </c>
      <c r="E22" s="83"/>
      <c r="F22" s="83"/>
      <c r="G22" s="83"/>
      <c r="J22" s="40"/>
      <c r="K22" s="298"/>
    </row>
    <row r="23" spans="2:11" ht="11.25" customHeight="1">
      <c r="B23" s="1"/>
      <c r="C23" s="79" t="s">
        <v>470</v>
      </c>
      <c r="D23" s="79" t="s">
        <v>480</v>
      </c>
      <c r="E23" s="79"/>
      <c r="F23" s="79"/>
      <c r="G23" s="79" t="s">
        <v>496</v>
      </c>
      <c r="H23" s="79"/>
      <c r="I23" s="79"/>
      <c r="J23" s="79"/>
      <c r="K23" s="298"/>
    </row>
    <row r="24" spans="2:11" ht="11.25" customHeight="1">
      <c r="B24" s="1"/>
      <c r="C24" s="79" t="s">
        <v>471</v>
      </c>
      <c r="D24" s="79" t="s">
        <v>481</v>
      </c>
      <c r="E24" s="79"/>
      <c r="F24" s="79"/>
      <c r="G24" s="79" t="s">
        <v>497</v>
      </c>
      <c r="H24" s="79"/>
      <c r="I24" s="79"/>
      <c r="J24" s="79"/>
      <c r="K24" s="298"/>
    </row>
    <row r="25" spans="2:11" ht="11.25" customHeight="1">
      <c r="B25" s="1"/>
      <c r="C25" s="79" t="s">
        <v>472</v>
      </c>
      <c r="D25" s="79" t="s">
        <v>482</v>
      </c>
      <c r="E25" s="79"/>
      <c r="F25" s="79"/>
      <c r="G25" s="79" t="s">
        <v>498</v>
      </c>
      <c r="H25" s="79"/>
      <c r="I25" s="79"/>
      <c r="J25" s="79"/>
      <c r="K25" s="298"/>
    </row>
    <row r="26" spans="2:11" ht="11.25" customHeight="1">
      <c r="B26" s="1"/>
      <c r="C26" s="79" t="s">
        <v>473</v>
      </c>
      <c r="D26" s="79" t="s">
        <v>483</v>
      </c>
      <c r="E26" s="79"/>
      <c r="F26" s="79"/>
      <c r="G26" s="79" t="s">
        <v>499</v>
      </c>
      <c r="H26" s="79"/>
      <c r="I26" s="79"/>
      <c r="J26" s="79"/>
      <c r="K26" s="298"/>
    </row>
    <row r="27" spans="2:11" ht="11.25" customHeight="1">
      <c r="B27" s="1"/>
      <c r="C27" s="79" t="s">
        <v>474</v>
      </c>
      <c r="D27" s="79" t="s">
        <v>484</v>
      </c>
      <c r="E27" s="79"/>
      <c r="F27" s="79"/>
      <c r="G27" s="79" t="s">
        <v>500</v>
      </c>
      <c r="H27" s="79"/>
      <c r="I27" s="79"/>
      <c r="J27" s="79"/>
      <c r="K27" s="298"/>
    </row>
    <row r="28" spans="2:11" ht="11.25" customHeight="1">
      <c r="B28" s="1"/>
      <c r="C28" s="79" t="s">
        <v>475</v>
      </c>
      <c r="D28" s="79" t="s">
        <v>485</v>
      </c>
      <c r="E28" s="79"/>
      <c r="F28" s="79"/>
      <c r="G28" s="79" t="s">
        <v>501</v>
      </c>
      <c r="H28" s="79"/>
      <c r="I28" s="79"/>
      <c r="J28" s="79"/>
      <c r="K28" s="298"/>
    </row>
    <row r="29" spans="2:11" ht="11.25" customHeight="1">
      <c r="B29" s="1"/>
      <c r="C29" s="79" t="s">
        <v>476</v>
      </c>
      <c r="D29" s="79" t="s">
        <v>486</v>
      </c>
      <c r="E29" s="79"/>
      <c r="F29" s="79"/>
      <c r="G29" s="79" t="s">
        <v>502</v>
      </c>
      <c r="H29" s="79"/>
      <c r="I29" s="79"/>
      <c r="J29" s="79"/>
      <c r="K29" s="34"/>
    </row>
    <row r="30" spans="2:10" ht="11.25" customHeight="1">
      <c r="B30" s="1"/>
      <c r="C30" s="79" t="s">
        <v>477</v>
      </c>
      <c r="D30" s="79" t="s">
        <v>487</v>
      </c>
      <c r="E30" s="79"/>
      <c r="F30" s="79"/>
      <c r="G30" s="79" t="s">
        <v>503</v>
      </c>
      <c r="H30" s="79"/>
      <c r="I30" s="79"/>
      <c r="J30" s="79"/>
    </row>
    <row r="31" spans="2:10" ht="11.25" customHeight="1">
      <c r="B31" s="1"/>
      <c r="C31" s="79" t="s">
        <v>478</v>
      </c>
      <c r="D31" s="79" t="s">
        <v>488</v>
      </c>
      <c r="E31" s="79"/>
      <c r="F31" s="79"/>
      <c r="G31" s="79" t="s">
        <v>504</v>
      </c>
      <c r="H31" s="79"/>
      <c r="I31" s="79"/>
      <c r="J31" s="79"/>
    </row>
    <row r="32" spans="2:10" ht="11.25" customHeight="1">
      <c r="B32" s="1"/>
      <c r="C32" s="79" t="s">
        <v>479</v>
      </c>
      <c r="D32" s="79" t="s">
        <v>489</v>
      </c>
      <c r="E32" s="79"/>
      <c r="F32" s="79"/>
      <c r="G32" s="79" t="s">
        <v>505</v>
      </c>
      <c r="H32" s="79"/>
      <c r="I32" s="79"/>
      <c r="J32" s="79"/>
    </row>
    <row r="33" spans="2:10" ht="11.25" customHeight="1">
      <c r="B33" s="1"/>
      <c r="C33" s="79"/>
      <c r="D33" s="79" t="s">
        <v>490</v>
      </c>
      <c r="E33" s="79"/>
      <c r="F33" s="79"/>
      <c r="G33" s="79" t="s">
        <v>506</v>
      </c>
      <c r="H33" s="79"/>
      <c r="I33" s="79"/>
      <c r="J33" s="79"/>
    </row>
    <row r="34" spans="2:10" ht="11.25" customHeight="1">
      <c r="B34" s="1"/>
      <c r="C34" s="79"/>
      <c r="D34" s="79" t="s">
        <v>491</v>
      </c>
      <c r="E34" s="79"/>
      <c r="F34" s="79"/>
      <c r="G34" s="79" t="s">
        <v>507</v>
      </c>
      <c r="H34" s="79"/>
      <c r="I34" s="79"/>
      <c r="J34" s="79"/>
    </row>
    <row r="35" spans="2:10" ht="11.25" customHeight="1">
      <c r="B35" s="1"/>
      <c r="C35" s="79"/>
      <c r="D35" s="79" t="s">
        <v>492</v>
      </c>
      <c r="E35" s="79"/>
      <c r="F35" s="79"/>
      <c r="G35" s="79" t="s">
        <v>508</v>
      </c>
      <c r="H35" s="79"/>
      <c r="I35" s="79"/>
      <c r="J35" s="79"/>
    </row>
    <row r="36" spans="2:10" ht="11.25" customHeight="1">
      <c r="B36" s="1"/>
      <c r="C36" s="79"/>
      <c r="D36" s="79" t="s">
        <v>493</v>
      </c>
      <c r="E36" s="79"/>
      <c r="F36" s="79"/>
      <c r="G36" s="79" t="s">
        <v>509</v>
      </c>
      <c r="H36" s="79"/>
      <c r="I36" s="79"/>
      <c r="J36" s="79"/>
    </row>
    <row r="37" spans="2:10" ht="11.25" customHeight="1">
      <c r="B37" s="1"/>
      <c r="C37" s="79"/>
      <c r="D37" s="79" t="s">
        <v>494</v>
      </c>
      <c r="E37" s="79"/>
      <c r="F37" s="79"/>
      <c r="G37" s="79" t="s">
        <v>510</v>
      </c>
      <c r="H37" s="79"/>
      <c r="I37" s="79"/>
      <c r="J37" s="79"/>
    </row>
    <row r="38" spans="2:10" s="83" customFormat="1" ht="11.25" customHeight="1">
      <c r="B38" s="7"/>
      <c r="C38" s="79"/>
      <c r="D38" s="79" t="s">
        <v>495</v>
      </c>
      <c r="E38" s="79"/>
      <c r="F38" s="79"/>
      <c r="G38" s="79" t="s">
        <v>511</v>
      </c>
      <c r="H38" s="79"/>
      <c r="I38" s="79"/>
      <c r="J38" s="79"/>
    </row>
    <row r="39" spans="3:9" ht="11.25">
      <c r="C39" s="302"/>
      <c r="D39" s="79"/>
      <c r="E39" s="79"/>
      <c r="G39" s="79"/>
      <c r="H39" s="79"/>
      <c r="I39" s="79"/>
    </row>
    <row r="40" spans="3:9" ht="11.25">
      <c r="C40" s="302"/>
      <c r="D40" s="79"/>
      <c r="E40" s="79"/>
      <c r="G40" s="79"/>
      <c r="H40" s="79"/>
      <c r="I40" s="79"/>
    </row>
    <row r="41" spans="3:9" ht="11.25">
      <c r="C41" s="302"/>
      <c r="D41" s="79"/>
      <c r="E41" s="79"/>
      <c r="G41" s="79"/>
      <c r="H41" s="79"/>
      <c r="I41" s="79"/>
    </row>
    <row r="42" spans="3:9" ht="11.25">
      <c r="C42" s="302"/>
      <c r="D42" s="79"/>
      <c r="E42" s="79"/>
      <c r="F42" s="79"/>
      <c r="G42" s="79"/>
      <c r="H42" s="79"/>
      <c r="I42" s="79"/>
    </row>
    <row r="43" spans="3:10" ht="22.5" customHeight="1">
      <c r="C43" s="597" t="s">
        <v>545</v>
      </c>
      <c r="D43" s="598"/>
      <c r="E43" s="598"/>
      <c r="F43" s="598"/>
      <c r="G43" s="598"/>
      <c r="H43" s="598"/>
      <c r="I43" s="598"/>
      <c r="J43" s="598"/>
    </row>
    <row r="44" spans="3:10" ht="12.75" customHeight="1">
      <c r="C44" s="597" t="s">
        <v>546</v>
      </c>
      <c r="D44" s="596"/>
      <c r="E44" s="596"/>
      <c r="F44" s="596"/>
      <c r="G44" s="596"/>
      <c r="H44" s="596"/>
      <c r="I44" s="596"/>
      <c r="J44" s="596"/>
    </row>
    <row r="45" spans="3:10" ht="12.75" customHeight="1">
      <c r="C45" s="596"/>
      <c r="D45" s="596"/>
      <c r="E45" s="596"/>
      <c r="F45" s="596"/>
      <c r="G45" s="596"/>
      <c r="H45" s="596"/>
      <c r="I45" s="596"/>
      <c r="J45" s="596"/>
    </row>
    <row r="46" spans="3:9" ht="12.75" customHeight="1">
      <c r="C46" s="1"/>
      <c r="D46" s="1"/>
      <c r="E46" s="1"/>
      <c r="F46" s="1"/>
      <c r="G46" s="1"/>
      <c r="H46" s="1"/>
      <c r="I46" s="1"/>
    </row>
    <row r="47" spans="3:9" ht="12.75" customHeight="1">
      <c r="C47" s="1"/>
      <c r="D47" s="1"/>
      <c r="E47" s="1"/>
      <c r="F47" s="1"/>
      <c r="G47" s="1"/>
      <c r="H47" s="1"/>
      <c r="I47" s="1"/>
    </row>
    <row r="48" spans="3:9" ht="12.75" customHeight="1">
      <c r="C48" s="1"/>
      <c r="D48" s="1"/>
      <c r="E48" s="1"/>
      <c r="F48" s="1"/>
      <c r="G48" s="1"/>
      <c r="H48" s="1"/>
      <c r="I48" s="1"/>
    </row>
    <row r="49" spans="3:7" ht="12.75" customHeight="1">
      <c r="C49" s="1"/>
      <c r="D49" s="1"/>
      <c r="G49" s="1"/>
    </row>
    <row r="50" spans="4:7" ht="12.75" customHeight="1">
      <c r="D50" s="1"/>
      <c r="G50" s="1"/>
    </row>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9">
    <mergeCell ref="A1:J1"/>
    <mergeCell ref="A2:J2"/>
    <mergeCell ref="A3:J3"/>
    <mergeCell ref="A4:J4"/>
    <mergeCell ref="C45:J45"/>
    <mergeCell ref="C43:J43"/>
    <mergeCell ref="C44:J44"/>
    <mergeCell ref="D8:F8"/>
    <mergeCell ref="C19:J20"/>
  </mergeCells>
  <printOptions/>
  <pageMargins left="0.5" right="0.5" top="0.5" bottom="0.5" header="0.75" footer="0.25"/>
  <pageSetup horizontalDpi="600" verticalDpi="600" orientation="landscape" r:id="rId2"/>
  <headerFooter alignWithMargins="0">
    <oddFooter>&amp;L&amp;A&amp;R&amp;"Arial,Regular"&amp;8Page 17</oddFooter>
  </headerFooter>
  <drawing r:id="rId1"/>
</worksheet>
</file>

<file path=xl/worksheets/sheet2.xml><?xml version="1.0" encoding="utf-8"?>
<worksheet xmlns="http://schemas.openxmlformats.org/spreadsheetml/2006/main" xmlns:r="http://schemas.openxmlformats.org/officeDocument/2006/relationships">
  <sheetPr codeName="Sheet11"/>
  <dimension ref="A1:M41"/>
  <sheetViews>
    <sheetView workbookViewId="0" topLeftCell="A1">
      <selection activeCell="A5" sqref="A5"/>
    </sheetView>
  </sheetViews>
  <sheetFormatPr defaultColWidth="9.33203125" defaultRowHeight="12.75"/>
  <cols>
    <col min="1" max="1" width="3.33203125" style="1" customWidth="1"/>
    <col min="2" max="2" width="11.5" style="24" customWidth="1"/>
    <col min="3" max="3" width="3.33203125" style="24" customWidth="1"/>
    <col min="4" max="4" width="71.66015625" style="1" customWidth="1"/>
    <col min="5" max="5" width="18" style="1" customWidth="1"/>
    <col min="6" max="6" width="9" style="88" customWidth="1"/>
    <col min="7" max="7" width="3.83203125" style="1" customWidth="1"/>
    <col min="8" max="8" width="23.5" style="1" customWidth="1"/>
    <col min="9" max="16384" width="9" style="1" customWidth="1"/>
  </cols>
  <sheetData>
    <row r="1" spans="2:13" ht="12.75">
      <c r="B1" s="1"/>
      <c r="C1" s="1"/>
      <c r="D1" s="90" t="s">
        <v>96</v>
      </c>
      <c r="E1" s="90"/>
      <c r="F1" s="145"/>
      <c r="G1" s="68"/>
      <c r="H1" s="68"/>
      <c r="I1" s="68"/>
      <c r="J1" s="2"/>
      <c r="K1" s="2"/>
      <c r="L1" s="2"/>
      <c r="M1" s="2"/>
    </row>
    <row r="2" spans="2:9" ht="12.75">
      <c r="B2" s="1"/>
      <c r="C2" s="1"/>
      <c r="D2" s="91" t="s">
        <v>159</v>
      </c>
      <c r="E2" s="91"/>
      <c r="F2" s="145"/>
      <c r="G2" s="143"/>
      <c r="H2" s="143"/>
      <c r="I2" s="143"/>
    </row>
    <row r="3" spans="4:6" ht="12">
      <c r="D3" s="89"/>
      <c r="E3" s="89"/>
      <c r="F3" s="89"/>
    </row>
    <row r="4" ht="12"/>
    <row r="5" spans="4:6" ht="11.25" customHeight="1">
      <c r="D5" s="539"/>
      <c r="F5" s="175" t="s">
        <v>156</v>
      </c>
    </row>
    <row r="6" spans="3:9" ht="12.75">
      <c r="C6" s="212" t="s">
        <v>29</v>
      </c>
      <c r="D6" s="3" t="s">
        <v>147</v>
      </c>
      <c r="E6" s="174"/>
      <c r="F6" s="136"/>
      <c r="I6" s="137"/>
    </row>
    <row r="7" spans="3:9" ht="11.25" customHeight="1">
      <c r="C7" s="212"/>
      <c r="D7" s="138" t="s">
        <v>18</v>
      </c>
      <c r="E7" s="174"/>
      <c r="F7" s="457">
        <v>1</v>
      </c>
      <c r="I7" s="137"/>
    </row>
    <row r="8" spans="3:9" ht="11.25">
      <c r="C8" s="212"/>
      <c r="D8" s="183"/>
      <c r="F8" s="136"/>
      <c r="I8" s="137"/>
    </row>
    <row r="9" spans="3:9" ht="12.75">
      <c r="C9" s="212" t="s">
        <v>30</v>
      </c>
      <c r="D9" s="3" t="s">
        <v>31</v>
      </c>
      <c r="E9" s="3"/>
      <c r="F9" s="136"/>
      <c r="I9" s="137"/>
    </row>
    <row r="10" spans="3:9" ht="11.25" customHeight="1">
      <c r="C10" s="212"/>
      <c r="D10" s="138" t="s">
        <v>46</v>
      </c>
      <c r="E10" s="138"/>
      <c r="F10" s="457" t="s">
        <v>463</v>
      </c>
      <c r="I10" s="137"/>
    </row>
    <row r="11" spans="3:9" ht="11.25" customHeight="1">
      <c r="C11" s="212"/>
      <c r="D11" s="138" t="s">
        <v>44</v>
      </c>
      <c r="E11" s="138"/>
      <c r="F11" s="457">
        <v>4</v>
      </c>
      <c r="I11" s="137"/>
    </row>
    <row r="12" spans="3:9" ht="11.25" customHeight="1">
      <c r="C12" s="212"/>
      <c r="D12" s="138" t="s">
        <v>13</v>
      </c>
      <c r="E12" s="138"/>
      <c r="F12" s="457">
        <v>5</v>
      </c>
      <c r="I12" s="137"/>
    </row>
    <row r="13" spans="3:9" ht="11.25" customHeight="1">
      <c r="C13" s="212"/>
      <c r="D13" s="138" t="s">
        <v>233</v>
      </c>
      <c r="E13" s="138"/>
      <c r="F13" s="457" t="s">
        <v>464</v>
      </c>
      <c r="I13" s="137"/>
    </row>
    <row r="14" spans="3:9" ht="11.25">
      <c r="C14" s="212"/>
      <c r="D14" s="138"/>
      <c r="E14" s="138"/>
      <c r="F14" s="457"/>
      <c r="I14" s="137"/>
    </row>
    <row r="15" spans="3:9" ht="12.75">
      <c r="C15" s="212" t="s">
        <v>32</v>
      </c>
      <c r="D15" s="3" t="s">
        <v>33</v>
      </c>
      <c r="E15" s="3"/>
      <c r="F15" s="457"/>
      <c r="I15" s="137"/>
    </row>
    <row r="16" spans="3:9" ht="11.25" customHeight="1">
      <c r="C16" s="212"/>
      <c r="D16" s="138" t="s">
        <v>190</v>
      </c>
      <c r="E16" s="138"/>
      <c r="F16" s="457" t="s">
        <v>465</v>
      </c>
      <c r="I16" s="137"/>
    </row>
    <row r="17" spans="3:9" ht="11.25" customHeight="1">
      <c r="C17" s="212"/>
      <c r="D17" s="138" t="s">
        <v>192</v>
      </c>
      <c r="E17" s="138"/>
      <c r="F17" s="457">
        <v>10</v>
      </c>
      <c r="I17" s="137"/>
    </row>
    <row r="18" spans="3:9" ht="11.25" customHeight="1">
      <c r="C18" s="212"/>
      <c r="D18" s="138" t="s">
        <v>38</v>
      </c>
      <c r="E18" s="138"/>
      <c r="F18" s="457" t="s">
        <v>466</v>
      </c>
      <c r="I18" s="137"/>
    </row>
    <row r="19" spans="3:10" ht="12" customHeight="1">
      <c r="C19" s="212"/>
      <c r="D19" s="138" t="s">
        <v>353</v>
      </c>
      <c r="E19" s="138"/>
      <c r="F19" s="457">
        <v>14</v>
      </c>
      <c r="G19" s="54"/>
      <c r="H19" s="54"/>
      <c r="I19" s="54"/>
      <c r="J19" s="54"/>
    </row>
    <row r="20" spans="3:10" ht="12.75">
      <c r="C20" s="212"/>
      <c r="F20" s="457"/>
      <c r="G20" s="54"/>
      <c r="H20" s="54"/>
      <c r="I20" s="54"/>
      <c r="J20" s="54"/>
    </row>
    <row r="21" spans="3:10" ht="12.75">
      <c r="C21" s="212" t="s">
        <v>34</v>
      </c>
      <c r="D21" s="3" t="s">
        <v>35</v>
      </c>
      <c r="E21" s="3"/>
      <c r="F21" s="457"/>
      <c r="G21" s="54"/>
      <c r="H21" s="54"/>
      <c r="I21" s="54"/>
      <c r="J21" s="54"/>
    </row>
    <row r="22" spans="3:10" ht="11.25" customHeight="1">
      <c r="C22" s="212"/>
      <c r="D22" s="138" t="s">
        <v>191</v>
      </c>
      <c r="E22" s="3"/>
      <c r="F22" s="457">
        <v>15</v>
      </c>
      <c r="G22" s="54"/>
      <c r="H22" s="54"/>
      <c r="I22" s="54"/>
      <c r="J22" s="54"/>
    </row>
    <row r="23" spans="3:10" ht="11.25" customHeight="1">
      <c r="C23" s="212"/>
      <c r="D23" s="138" t="s">
        <v>193</v>
      </c>
      <c r="E23" s="138"/>
      <c r="F23" s="457" t="s">
        <v>467</v>
      </c>
      <c r="G23" s="54"/>
      <c r="H23" s="54"/>
      <c r="I23" s="54"/>
      <c r="J23" s="54"/>
    </row>
    <row r="24" spans="3:10" ht="11.25" customHeight="1">
      <c r="C24" s="212"/>
      <c r="D24" s="138" t="s">
        <v>56</v>
      </c>
      <c r="E24" s="139"/>
      <c r="F24" s="457" t="s">
        <v>541</v>
      </c>
      <c r="G24" s="54"/>
      <c r="H24" s="54"/>
      <c r="I24" s="54"/>
      <c r="J24" s="54"/>
    </row>
    <row r="25" spans="3:10" ht="11.25" customHeight="1">
      <c r="C25" s="212"/>
      <c r="D25" s="138" t="s">
        <v>0</v>
      </c>
      <c r="E25" s="139"/>
      <c r="F25" s="457">
        <v>22</v>
      </c>
      <c r="G25" s="54"/>
      <c r="H25" s="54"/>
      <c r="I25" s="54"/>
      <c r="J25" s="54"/>
    </row>
    <row r="26" spans="3:10" ht="11.25" customHeight="1">
      <c r="C26" s="212"/>
      <c r="D26" s="138" t="s">
        <v>55</v>
      </c>
      <c r="E26" s="140"/>
      <c r="F26" s="457">
        <v>23</v>
      </c>
      <c r="G26" s="54"/>
      <c r="H26" s="54"/>
      <c r="I26" s="54"/>
      <c r="J26" s="54"/>
    </row>
    <row r="27" spans="3:9" ht="11.25" customHeight="1">
      <c r="C27" s="212"/>
      <c r="D27" s="138" t="s">
        <v>43</v>
      </c>
      <c r="E27" s="138"/>
      <c r="F27" s="457">
        <v>24</v>
      </c>
      <c r="I27" s="137"/>
    </row>
    <row r="28" spans="3:10" ht="12.75">
      <c r="C28" s="212"/>
      <c r="D28" s="139"/>
      <c r="E28" s="140"/>
      <c r="F28" s="457"/>
      <c r="G28" s="54"/>
      <c r="H28" s="54"/>
      <c r="I28" s="54"/>
      <c r="J28" s="54"/>
    </row>
    <row r="29" spans="3:10" ht="12.75">
      <c r="C29" s="212" t="s">
        <v>36</v>
      </c>
      <c r="D29" s="3" t="s">
        <v>229</v>
      </c>
      <c r="E29" s="3"/>
      <c r="F29" s="457"/>
      <c r="G29" s="54"/>
      <c r="H29" s="54"/>
      <c r="I29" s="54"/>
      <c r="J29" s="54"/>
    </row>
    <row r="30" spans="4:10" ht="11.25" customHeight="1">
      <c r="D30" s="138" t="s">
        <v>23</v>
      </c>
      <c r="E30" s="3"/>
      <c r="F30" s="457">
        <v>25</v>
      </c>
      <c r="G30" s="54"/>
      <c r="H30" s="54"/>
      <c r="I30" s="54"/>
      <c r="J30" s="54"/>
    </row>
    <row r="31" spans="4:10" ht="11.25" customHeight="1">
      <c r="D31" s="138" t="s">
        <v>347</v>
      </c>
      <c r="E31" s="3"/>
      <c r="F31" s="457">
        <v>26</v>
      </c>
      <c r="G31" s="54"/>
      <c r="H31" s="54"/>
      <c r="I31" s="54"/>
      <c r="J31" s="54"/>
    </row>
    <row r="32" spans="4:10" ht="11.25" customHeight="1">
      <c r="D32" s="138" t="s">
        <v>202</v>
      </c>
      <c r="E32" s="3"/>
      <c r="F32" s="457">
        <v>27</v>
      </c>
      <c r="G32" s="54"/>
      <c r="H32" s="54"/>
      <c r="I32" s="54"/>
      <c r="J32" s="54"/>
    </row>
    <row r="33" spans="4:10" ht="11.25" customHeight="1">
      <c r="D33" s="138" t="s">
        <v>194</v>
      </c>
      <c r="E33" s="140"/>
      <c r="F33" s="457">
        <v>28</v>
      </c>
      <c r="G33" s="54"/>
      <c r="H33" s="54"/>
      <c r="I33" s="54"/>
      <c r="J33" s="54"/>
    </row>
    <row r="34" spans="2:10" ht="12.75">
      <c r="B34" s="64"/>
      <c r="C34" s="64"/>
      <c r="D34" s="140"/>
      <c r="E34" s="140"/>
      <c r="F34" s="136"/>
      <c r="G34" s="54"/>
      <c r="H34" s="54"/>
      <c r="I34" s="54"/>
      <c r="J34" s="54"/>
    </row>
    <row r="35" spans="4:10" ht="12.75">
      <c r="D35" s="141"/>
      <c r="E35" s="141"/>
      <c r="F35" s="136"/>
      <c r="G35" s="54"/>
      <c r="H35" s="54"/>
      <c r="I35" s="54"/>
      <c r="J35" s="54"/>
    </row>
    <row r="36" spans="2:10" ht="12.75">
      <c r="B36" s="56"/>
      <c r="C36" s="56"/>
      <c r="D36" s="141"/>
      <c r="E36" s="141"/>
      <c r="F36" s="136"/>
      <c r="G36" s="54"/>
      <c r="H36" s="54"/>
      <c r="I36" s="54"/>
      <c r="J36" s="54"/>
    </row>
    <row r="37" spans="1:10" ht="12.75">
      <c r="A37" s="7"/>
      <c r="B37" s="144"/>
      <c r="C37" s="144"/>
      <c r="D37" s="142"/>
      <c r="E37" s="142"/>
      <c r="F37" s="136"/>
      <c r="G37" s="54"/>
      <c r="H37" s="54"/>
      <c r="I37" s="54"/>
      <c r="J37" s="54"/>
    </row>
    <row r="38" spans="1:10" ht="12.75">
      <c r="A38" s="7"/>
      <c r="F38" s="136"/>
      <c r="G38" s="54"/>
      <c r="H38" s="54"/>
      <c r="I38" s="54"/>
      <c r="J38" s="54"/>
    </row>
    <row r="39" spans="1:6" ht="11.25">
      <c r="A39" s="7"/>
      <c r="F39" s="136"/>
    </row>
    <row r="40" spans="1:6" ht="11.25">
      <c r="A40" s="7"/>
      <c r="F40" s="136"/>
    </row>
    <row r="41" ht="11.25">
      <c r="F41" s="136"/>
    </row>
  </sheetData>
  <sheetProtection objects="1"/>
  <hyperlinks>
    <hyperlink ref="D27" location="'Earnings per share '!A1" display="'Earnings per share '!A1"/>
    <hyperlink ref="D12" location="'Line of Business '!A1" display="- Consolidated Premiums by Line of Business"/>
    <hyperlink ref="D11" location="'Consol Bal Sheet'!A1" display="'Consol Bal Sheet'!A1"/>
    <hyperlink ref="D23" location="'Reinsurance Recoverable'!A1" display="'Reinsurance Recoverable'!A1"/>
    <hyperlink ref="D22" location="'Loss Reserve Rollforward'!A1" display="- Loss Reserve Rollforward"/>
    <hyperlink ref="D26" location="'Capital Structure'!A1" display="'Capital Structure'!A1"/>
    <hyperlink ref="D24" location="Investments!A1" display="Investments!A1"/>
    <hyperlink ref="D6" location="'Financial Highlights'!A1" display="'Financial Highlights'!A1"/>
    <hyperlink ref="D29" location="'Reconciliation GAAP'!A1" display="'Reconciliation GAAP'!A1"/>
    <hyperlink ref="D16" location="'Insurance-North American '!A1" display="'Insurance-North American '!A1"/>
    <hyperlink ref="D17" location="'Insurance-Overseas General '!A1" display="'Insurance-Overseas General '!A1"/>
    <hyperlink ref="D18" location="'Global Reinsurance '!A1" display="'Global Reinsurance '!A1"/>
    <hyperlink ref="D30" location="'Reconciliation Non-GAAP'!A1" display="- Reconciliation to Generally Accepted Accounting Principles"/>
    <hyperlink ref="D7" location="'Financial Highlights'!A1" display="- Financial Highlights"/>
    <hyperlink ref="D33" location="Glossary!A1" display="- Glossary"/>
    <hyperlink ref="D13" location="'Segment  2005 Qtr'!A1" display="- Consolidating Statement of Operations"/>
    <hyperlink ref="D25" location="'Investment Gains (Losses) '!A1" display="- Realized and Unrealized Gains (Losses)"/>
    <hyperlink ref="D31" location="'Reconciliation Book Value'!A1" display="'Reconciliation Book Value'!A1"/>
    <hyperlink ref="D10" location="'Consolidated Results'!A1" display="'Consolidated Results'!A1"/>
    <hyperlink ref="D32" location="'Comprehensive Income'!A1" display="'Comprehensive Income'!A1"/>
    <hyperlink ref="D19" location="Life!A1" display="- Life"/>
  </hyperlinks>
  <printOptions/>
  <pageMargins left="0.5" right="0.5" top="0.5" bottom="0.5" header="0.75" footer="0.5"/>
  <pageSetup horizontalDpi="600" verticalDpi="600" orientation="landscape" r:id="rId2"/>
  <drawing r:id="rId1"/>
</worksheet>
</file>

<file path=xl/worksheets/sheet20.xml><?xml version="1.0" encoding="utf-8"?>
<worksheet xmlns="http://schemas.openxmlformats.org/spreadsheetml/2006/main" xmlns:r="http://schemas.openxmlformats.org/officeDocument/2006/relationships">
  <sheetPr codeName="Sheet52"/>
  <dimension ref="A1:BH49"/>
  <sheetViews>
    <sheetView workbookViewId="0" topLeftCell="A1">
      <selection activeCell="A6" sqref="A6"/>
    </sheetView>
  </sheetViews>
  <sheetFormatPr defaultColWidth="9.33203125" defaultRowHeight="12.75"/>
  <cols>
    <col min="1" max="2" width="3.33203125" style="70" customWidth="1"/>
    <col min="3" max="3" width="49.16015625" style="70" customWidth="1"/>
    <col min="4" max="6" width="12.83203125" style="70" customWidth="1"/>
    <col min="7" max="7" width="16.66015625" style="70" customWidth="1"/>
    <col min="8" max="8" width="11.5" style="70" customWidth="1"/>
    <col min="9" max="9" width="15.66015625" style="70" customWidth="1"/>
    <col min="10" max="10" width="3" style="70" customWidth="1"/>
    <col min="11" max="11" width="3.83203125" style="70" customWidth="1"/>
    <col min="12" max="16384" width="10.66015625" style="70" customWidth="1"/>
  </cols>
  <sheetData>
    <row r="1" spans="1:14" ht="14.25" customHeight="1">
      <c r="A1" s="593" t="s">
        <v>96</v>
      </c>
      <c r="B1" s="593"/>
      <c r="C1" s="593"/>
      <c r="D1" s="593"/>
      <c r="E1" s="593"/>
      <c r="F1" s="593"/>
      <c r="G1" s="593"/>
      <c r="H1" s="593"/>
      <c r="I1" s="593"/>
      <c r="J1" s="357"/>
      <c r="K1" s="357"/>
      <c r="L1" s="357"/>
      <c r="M1" s="357"/>
      <c r="N1" s="357"/>
    </row>
    <row r="2" spans="1:14" ht="14.25" customHeight="1">
      <c r="A2" s="589" t="s">
        <v>364</v>
      </c>
      <c r="B2" s="589"/>
      <c r="C2" s="589"/>
      <c r="D2" s="589"/>
      <c r="E2" s="589"/>
      <c r="F2" s="589"/>
      <c r="G2" s="589"/>
      <c r="H2" s="589"/>
      <c r="I2" s="589"/>
      <c r="J2" s="359"/>
      <c r="K2" s="359"/>
      <c r="L2" s="359"/>
      <c r="M2" s="359"/>
      <c r="N2" s="359"/>
    </row>
    <row r="3" spans="1:14" ht="14.25" customHeight="1">
      <c r="A3" s="595" t="s">
        <v>154</v>
      </c>
      <c r="B3" s="595"/>
      <c r="C3" s="595"/>
      <c r="D3" s="595"/>
      <c r="E3" s="595"/>
      <c r="F3" s="595"/>
      <c r="G3" s="595"/>
      <c r="H3" s="595"/>
      <c r="I3" s="595"/>
      <c r="J3" s="360"/>
      <c r="K3" s="360"/>
      <c r="L3" s="360"/>
      <c r="M3" s="360"/>
      <c r="N3" s="360"/>
    </row>
    <row r="4" spans="1:14" ht="14.25" customHeight="1">
      <c r="A4" s="595" t="s">
        <v>170</v>
      </c>
      <c r="B4" s="595"/>
      <c r="C4" s="595"/>
      <c r="D4" s="595"/>
      <c r="E4" s="595"/>
      <c r="F4" s="595"/>
      <c r="G4" s="595"/>
      <c r="H4" s="595"/>
      <c r="I4" s="595"/>
      <c r="J4" s="360"/>
      <c r="K4" s="360"/>
      <c r="L4" s="360"/>
      <c r="M4" s="360"/>
      <c r="N4" s="360"/>
    </row>
    <row r="5" spans="3:10" ht="6" customHeight="1">
      <c r="C5" s="76"/>
      <c r="D5" s="75"/>
      <c r="E5" s="75"/>
      <c r="F5" s="75"/>
      <c r="G5" s="75"/>
      <c r="H5" s="75"/>
      <c r="I5" s="289"/>
      <c r="J5" s="290"/>
    </row>
    <row r="6" spans="3:10" ht="11.25" customHeight="1">
      <c r="C6" s="539"/>
      <c r="D6" s="75"/>
      <c r="E6" s="75"/>
      <c r="F6" s="75"/>
      <c r="G6" s="75"/>
      <c r="H6" s="75"/>
      <c r="I6" s="289"/>
      <c r="J6" s="290"/>
    </row>
    <row r="7" spans="3:9" ht="13.5" customHeight="1">
      <c r="C7" s="291" t="s">
        <v>308</v>
      </c>
      <c r="D7" s="1"/>
      <c r="E7" s="1"/>
      <c r="F7" s="1"/>
      <c r="G7" s="1"/>
      <c r="H7" s="1"/>
      <c r="I7" s="1"/>
    </row>
    <row r="8" spans="2:60" ht="13.5" customHeight="1">
      <c r="B8" s="1"/>
      <c r="D8" s="599">
        <v>38990</v>
      </c>
      <c r="E8" s="600"/>
      <c r="F8" s="600"/>
      <c r="G8" s="292"/>
      <c r="H8"/>
      <c r="I8"/>
      <c r="J8"/>
      <c r="K8" s="72"/>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row>
    <row r="9" spans="2:60" ht="11.25" customHeight="1">
      <c r="B9" s="1"/>
      <c r="C9" s="15" t="s">
        <v>292</v>
      </c>
      <c r="D9" s="411" t="s">
        <v>293</v>
      </c>
      <c r="E9" s="62" t="s">
        <v>393</v>
      </c>
      <c r="F9" s="412" t="s">
        <v>294</v>
      </c>
      <c r="G9" s="1"/>
      <c r="H9"/>
      <c r="I9"/>
      <c r="J9"/>
      <c r="K9" s="293"/>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row>
    <row r="10" spans="3:10" s="1" customFormat="1" ht="11.25" customHeight="1">
      <c r="C10" s="79" t="s">
        <v>295</v>
      </c>
      <c r="D10" s="497">
        <v>8125</v>
      </c>
      <c r="E10" s="497">
        <v>100</v>
      </c>
      <c r="F10" s="413">
        <f aca="true" t="shared" si="0" ref="F10:F17">ROUND(E10/D10,3)</f>
        <v>0.012</v>
      </c>
      <c r="G10" s="294"/>
      <c r="H10"/>
      <c r="I10"/>
      <c r="J10"/>
    </row>
    <row r="11" spans="3:10" s="1" customFormat="1" ht="11.25" customHeight="1">
      <c r="C11" s="79" t="s">
        <v>296</v>
      </c>
      <c r="D11" s="107">
        <v>3519</v>
      </c>
      <c r="E11" s="107">
        <v>157</v>
      </c>
      <c r="F11" s="413">
        <f t="shared" si="0"/>
        <v>0.045</v>
      </c>
      <c r="G11" s="295"/>
      <c r="H11"/>
      <c r="I11"/>
      <c r="J11"/>
    </row>
    <row r="12" spans="3:10" s="1" customFormat="1" ht="11.25" customHeight="1">
      <c r="C12" s="79" t="s">
        <v>297</v>
      </c>
      <c r="D12" s="107">
        <v>732</v>
      </c>
      <c r="E12" s="107">
        <v>69</v>
      </c>
      <c r="F12" s="413">
        <f t="shared" si="0"/>
        <v>0.094</v>
      </c>
      <c r="G12" s="295"/>
      <c r="H12"/>
      <c r="I12"/>
      <c r="J12"/>
    </row>
    <row r="13" spans="3:10" s="1" customFormat="1" ht="11.25" customHeight="1">
      <c r="C13" s="79" t="s">
        <v>298</v>
      </c>
      <c r="D13" s="107">
        <v>600</v>
      </c>
      <c r="E13" s="107">
        <v>3</v>
      </c>
      <c r="F13" s="413">
        <f t="shared" si="0"/>
        <v>0.005</v>
      </c>
      <c r="G13" s="295"/>
      <c r="H13"/>
      <c r="I13"/>
      <c r="J13"/>
    </row>
    <row r="14" spans="3:10" s="1" customFormat="1" ht="11.25" customHeight="1">
      <c r="C14" s="79" t="s">
        <v>299</v>
      </c>
      <c r="D14" s="107">
        <v>522</v>
      </c>
      <c r="E14" s="107">
        <v>2</v>
      </c>
      <c r="F14" s="413">
        <f t="shared" si="0"/>
        <v>0.004</v>
      </c>
      <c r="G14" s="295"/>
      <c r="H14"/>
      <c r="I14"/>
      <c r="J14"/>
    </row>
    <row r="15" spans="3:10" s="1" customFormat="1" ht="11.25" customHeight="1">
      <c r="C15" s="79" t="s">
        <v>300</v>
      </c>
      <c r="D15" s="107">
        <v>1345</v>
      </c>
      <c r="E15" s="107">
        <v>2</v>
      </c>
      <c r="F15" s="413">
        <f>ROUND(E15/D15,3)</f>
        <v>0.001</v>
      </c>
      <c r="G15" s="295"/>
      <c r="H15"/>
      <c r="I15"/>
      <c r="J15"/>
    </row>
    <row r="16" spans="3:10" s="1" customFormat="1" ht="12" customHeight="1">
      <c r="C16" s="24" t="s">
        <v>301</v>
      </c>
      <c r="D16" s="107">
        <v>590</v>
      </c>
      <c r="E16" s="107">
        <v>371</v>
      </c>
      <c r="F16" s="413">
        <f t="shared" si="0"/>
        <v>0.629</v>
      </c>
      <c r="G16" s="295"/>
      <c r="H16"/>
      <c r="I16"/>
      <c r="J16"/>
    </row>
    <row r="17" spans="3:10" s="1" customFormat="1" ht="11.25" customHeight="1" thickBot="1">
      <c r="C17" s="82" t="s">
        <v>8</v>
      </c>
      <c r="D17" s="414">
        <f>SUM(D10:D16)</f>
        <v>15433</v>
      </c>
      <c r="E17" s="414">
        <f>SUM(E10:E16)</f>
        <v>704</v>
      </c>
      <c r="F17" s="415">
        <f t="shared" si="0"/>
        <v>0.046</v>
      </c>
      <c r="H17"/>
      <c r="I17"/>
      <c r="J17"/>
    </row>
    <row r="18" spans="2:60" ht="6" customHeight="1" thickTop="1">
      <c r="B18" s="1"/>
      <c r="C18" s="82"/>
      <c r="D18" s="296"/>
      <c r="E18" s="296"/>
      <c r="F18" s="297"/>
      <c r="G18" s="1"/>
      <c r="H18" s="1"/>
      <c r="I18" s="1"/>
      <c r="J18" s="40"/>
      <c r="K18" s="298"/>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row>
    <row r="19" spans="2:60" ht="11.25" customHeight="1">
      <c r="B19" s="1"/>
      <c r="C19" s="602" t="s">
        <v>527</v>
      </c>
      <c r="D19" s="602"/>
      <c r="E19" s="602"/>
      <c r="F19" s="602"/>
      <c r="G19" s="602"/>
      <c r="H19" s="602"/>
      <c r="I19" s="602"/>
      <c r="J19" s="602"/>
      <c r="K19" s="298"/>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row>
    <row r="20" spans="2:60" ht="12.75" customHeight="1">
      <c r="B20" s="1"/>
      <c r="C20" s="602"/>
      <c r="D20" s="602"/>
      <c r="E20" s="602"/>
      <c r="F20" s="602"/>
      <c r="G20" s="602"/>
      <c r="H20" s="602"/>
      <c r="I20" s="602"/>
      <c r="J20" s="602"/>
      <c r="K20" s="298"/>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row>
    <row r="21" spans="2:60" ht="5.25" customHeight="1">
      <c r="B21" s="1"/>
      <c r="C21" s="1"/>
      <c r="D21" s="1"/>
      <c r="E21" s="1"/>
      <c r="F21" s="1"/>
      <c r="G21" s="1"/>
      <c r="H21" s="1"/>
      <c r="I21" s="1"/>
      <c r="J21" s="40"/>
      <c r="K21" s="298"/>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row>
    <row r="22" spans="2:11" ht="15.75" customHeight="1">
      <c r="B22" s="1"/>
      <c r="C22" s="299" t="s">
        <v>302</v>
      </c>
      <c r="D22" s="299" t="s">
        <v>303</v>
      </c>
      <c r="E22" s="83"/>
      <c r="F22" s="83"/>
      <c r="G22" s="83"/>
      <c r="J22" s="40"/>
      <c r="K22" s="298"/>
    </row>
    <row r="23" spans="2:11" ht="11.25" customHeight="1">
      <c r="B23" s="1"/>
      <c r="C23" s="79" t="s">
        <v>470</v>
      </c>
      <c r="D23" s="79" t="s">
        <v>480</v>
      </c>
      <c r="E23" s="79"/>
      <c r="F23" s="79" t="s">
        <v>489</v>
      </c>
      <c r="G23" s="79"/>
      <c r="H23" s="79" t="s">
        <v>499</v>
      </c>
      <c r="I23" s="79"/>
      <c r="J23" s="79"/>
      <c r="K23" s="79"/>
    </row>
    <row r="24" spans="2:11" ht="11.25" customHeight="1">
      <c r="B24" s="1"/>
      <c r="C24" s="79" t="s">
        <v>471</v>
      </c>
      <c r="D24" s="79" t="s">
        <v>481</v>
      </c>
      <c r="E24" s="79"/>
      <c r="F24" s="79" t="s">
        <v>490</v>
      </c>
      <c r="G24" s="79"/>
      <c r="H24" s="79" t="s">
        <v>500</v>
      </c>
      <c r="I24" s="79"/>
      <c r="J24" s="79"/>
      <c r="K24" s="79"/>
    </row>
    <row r="25" spans="2:11" ht="11.25" customHeight="1">
      <c r="B25" s="1"/>
      <c r="C25" s="79" t="s">
        <v>472</v>
      </c>
      <c r="D25" s="79" t="s">
        <v>482</v>
      </c>
      <c r="E25" s="79"/>
      <c r="F25" s="79" t="s">
        <v>518</v>
      </c>
      <c r="G25" s="79"/>
      <c r="H25" s="79" t="s">
        <v>501</v>
      </c>
      <c r="I25" s="79"/>
      <c r="J25" s="79"/>
      <c r="K25" s="79"/>
    </row>
    <row r="26" spans="2:11" ht="11.25" customHeight="1">
      <c r="B26" s="1"/>
      <c r="C26" s="79" t="s">
        <v>473</v>
      </c>
      <c r="D26" s="79" t="s">
        <v>512</v>
      </c>
      <c r="E26" s="79"/>
      <c r="F26" s="79" t="s">
        <v>491</v>
      </c>
      <c r="G26" s="79"/>
      <c r="H26" s="79" t="s">
        <v>502</v>
      </c>
      <c r="I26" s="79"/>
      <c r="J26" s="79"/>
      <c r="K26" s="79"/>
    </row>
    <row r="27" spans="2:11" ht="11.25" customHeight="1">
      <c r="B27" s="1"/>
      <c r="C27" s="79" t="s">
        <v>474</v>
      </c>
      <c r="D27" s="79" t="s">
        <v>483</v>
      </c>
      <c r="E27" s="79"/>
      <c r="F27" s="79" t="s">
        <v>492</v>
      </c>
      <c r="G27" s="79"/>
      <c r="H27" s="79" t="s">
        <v>503</v>
      </c>
      <c r="I27" s="79"/>
      <c r="J27" s="79"/>
      <c r="K27" s="79"/>
    </row>
    <row r="28" spans="2:11" ht="11.25" customHeight="1">
      <c r="B28" s="1"/>
      <c r="C28" s="79" t="s">
        <v>475</v>
      </c>
      <c r="D28" s="79" t="s">
        <v>484</v>
      </c>
      <c r="E28" s="79"/>
      <c r="F28" s="79" t="s">
        <v>519</v>
      </c>
      <c r="G28" s="79"/>
      <c r="H28" s="79" t="s">
        <v>504</v>
      </c>
      <c r="I28" s="79"/>
      <c r="J28" s="79"/>
      <c r="K28" s="79"/>
    </row>
    <row r="29" spans="2:11" ht="11.25" customHeight="1">
      <c r="B29" s="1"/>
      <c r="C29" s="79" t="s">
        <v>476</v>
      </c>
      <c r="D29" s="79" t="s">
        <v>513</v>
      </c>
      <c r="E29" s="79"/>
      <c r="F29" s="79" t="s">
        <v>520</v>
      </c>
      <c r="G29" s="79"/>
      <c r="H29" s="79" t="s">
        <v>505</v>
      </c>
      <c r="I29" s="79"/>
      <c r="J29" s="79"/>
      <c r="K29" s="79"/>
    </row>
    <row r="30" spans="2:11" ht="11.25" customHeight="1">
      <c r="B30" s="1"/>
      <c r="C30" s="79" t="s">
        <v>477</v>
      </c>
      <c r="D30" s="79" t="s">
        <v>485</v>
      </c>
      <c r="E30" s="79"/>
      <c r="F30" s="79" t="s">
        <v>493</v>
      </c>
      <c r="G30" s="79"/>
      <c r="H30" s="79" t="s">
        <v>506</v>
      </c>
      <c r="I30" s="79"/>
      <c r="J30" s="79"/>
      <c r="K30" s="79"/>
    </row>
    <row r="31" spans="2:11" ht="11.25" customHeight="1">
      <c r="B31" s="1"/>
      <c r="C31" s="79" t="s">
        <v>478</v>
      </c>
      <c r="D31" s="79" t="s">
        <v>514</v>
      </c>
      <c r="E31" s="79"/>
      <c r="F31" s="79" t="s">
        <v>521</v>
      </c>
      <c r="G31" s="79"/>
      <c r="H31" s="79" t="s">
        <v>507</v>
      </c>
      <c r="I31" s="79"/>
      <c r="J31" s="79"/>
      <c r="K31" s="79"/>
    </row>
    <row r="32" spans="2:11" ht="11.25" customHeight="1">
      <c r="B32" s="1"/>
      <c r="C32" s="79" t="s">
        <v>479</v>
      </c>
      <c r="D32" s="79" t="s">
        <v>486</v>
      </c>
      <c r="E32" s="79"/>
      <c r="F32" s="79" t="s">
        <v>494</v>
      </c>
      <c r="G32" s="79"/>
      <c r="H32" s="79" t="s">
        <v>508</v>
      </c>
      <c r="I32" s="79"/>
      <c r="J32" s="79"/>
      <c r="K32" s="79"/>
    </row>
    <row r="33" spans="2:11" ht="11.25" customHeight="1">
      <c r="B33" s="1"/>
      <c r="C33" s="79"/>
      <c r="D33" s="79" t="s">
        <v>487</v>
      </c>
      <c r="E33" s="79"/>
      <c r="F33" s="79" t="s">
        <v>495</v>
      </c>
      <c r="G33" s="79"/>
      <c r="H33" s="79" t="s">
        <v>523</v>
      </c>
      <c r="I33" s="79"/>
      <c r="J33" s="79"/>
      <c r="K33" s="79"/>
    </row>
    <row r="34" spans="2:11" ht="11.25" customHeight="1">
      <c r="B34" s="1"/>
      <c r="C34" s="79"/>
      <c r="D34" s="79" t="s">
        <v>488</v>
      </c>
      <c r="E34" s="79"/>
      <c r="F34" s="79" t="s">
        <v>496</v>
      </c>
      <c r="G34" s="79"/>
      <c r="H34" s="79" t="s">
        <v>509</v>
      </c>
      <c r="I34" s="79"/>
      <c r="J34" s="79"/>
      <c r="K34" s="79"/>
    </row>
    <row r="35" spans="2:11" ht="11.25" customHeight="1">
      <c r="B35" s="1"/>
      <c r="C35" s="79"/>
      <c r="D35" s="79" t="s">
        <v>515</v>
      </c>
      <c r="E35" s="79"/>
      <c r="F35" s="79" t="s">
        <v>497</v>
      </c>
      <c r="G35" s="79"/>
      <c r="H35" s="79" t="s">
        <v>510</v>
      </c>
      <c r="I35" s="79"/>
      <c r="J35" s="79"/>
      <c r="K35" s="79"/>
    </row>
    <row r="36" spans="2:11" ht="11.25" customHeight="1">
      <c r="B36" s="1"/>
      <c r="C36" s="79"/>
      <c r="D36" s="79" t="s">
        <v>516</v>
      </c>
      <c r="E36" s="79"/>
      <c r="F36" s="79" t="s">
        <v>522</v>
      </c>
      <c r="G36" s="79"/>
      <c r="H36" s="79" t="s">
        <v>511</v>
      </c>
      <c r="I36" s="79"/>
      <c r="J36" s="79"/>
      <c r="K36" s="79"/>
    </row>
    <row r="37" spans="2:11" ht="11.25" customHeight="1">
      <c r="B37" s="1"/>
      <c r="C37" s="79"/>
      <c r="D37" s="79" t="s">
        <v>517</v>
      </c>
      <c r="E37" s="79"/>
      <c r="F37" s="79" t="s">
        <v>498</v>
      </c>
      <c r="G37" s="79"/>
      <c r="H37" s="79"/>
      <c r="I37" s="79"/>
      <c r="J37" s="79"/>
      <c r="K37" s="79"/>
    </row>
    <row r="38" spans="2:11" ht="11.25" customHeight="1">
      <c r="B38" s="1"/>
      <c r="C38" s="79"/>
      <c r="D38" s="79"/>
      <c r="E38" s="79"/>
      <c r="F38" s="79"/>
      <c r="G38" s="79"/>
      <c r="H38" s="79"/>
      <c r="I38" s="79"/>
      <c r="J38" s="79"/>
      <c r="K38" s="79"/>
    </row>
    <row r="39" spans="2:11" ht="11.25" customHeight="1">
      <c r="B39" s="1"/>
      <c r="C39" s="79"/>
      <c r="D39" s="79"/>
      <c r="E39" s="79"/>
      <c r="F39" s="79"/>
      <c r="G39" s="79"/>
      <c r="H39" s="79"/>
      <c r="I39" s="79"/>
      <c r="J39" s="79"/>
      <c r="K39" s="79"/>
    </row>
    <row r="40" spans="2:11" ht="11.25" customHeight="1">
      <c r="B40" s="1"/>
      <c r="C40" s="79"/>
      <c r="D40" s="79"/>
      <c r="E40" s="79"/>
      <c r="F40" s="79"/>
      <c r="G40" s="79"/>
      <c r="H40" s="79"/>
      <c r="I40" s="79"/>
      <c r="J40" s="79"/>
      <c r="K40" s="79"/>
    </row>
    <row r="41" spans="2:10" s="83" customFormat="1" ht="11.25" customHeight="1">
      <c r="B41" s="7"/>
      <c r="C41" s="300"/>
      <c r="D41" s="496"/>
      <c r="E41" s="496"/>
      <c r="F41" s="496"/>
      <c r="G41" s="496"/>
      <c r="H41" s="496"/>
      <c r="I41" s="301"/>
      <c r="J41" s="40"/>
    </row>
    <row r="42" spans="3:10" ht="20.25" customHeight="1">
      <c r="C42" s="597" t="s">
        <v>545</v>
      </c>
      <c r="D42" s="598"/>
      <c r="E42" s="598"/>
      <c r="F42" s="598"/>
      <c r="G42" s="598"/>
      <c r="H42" s="598"/>
      <c r="I42" s="598"/>
      <c r="J42" s="598"/>
    </row>
    <row r="43" spans="3:10" ht="12.75" customHeight="1">
      <c r="C43" s="590" t="s">
        <v>349</v>
      </c>
      <c r="D43" s="590"/>
      <c r="E43" s="590"/>
      <c r="F43" s="590"/>
      <c r="G43" s="590"/>
      <c r="H43" s="590"/>
      <c r="I43" s="590"/>
      <c r="J43" s="590"/>
    </row>
    <row r="44" spans="3:10" ht="12.75" customHeight="1">
      <c r="C44" s="596"/>
      <c r="D44" s="596"/>
      <c r="E44" s="596"/>
      <c r="F44" s="596"/>
      <c r="G44" s="596"/>
      <c r="H44" s="596"/>
      <c r="I44" s="596"/>
      <c r="J44" s="596"/>
    </row>
    <row r="45" spans="3:9" ht="12.75" customHeight="1">
      <c r="C45" s="1"/>
      <c r="D45" s="1"/>
      <c r="E45" s="1"/>
      <c r="F45" s="1"/>
      <c r="G45" s="1"/>
      <c r="H45" s="1"/>
      <c r="I45" s="1"/>
    </row>
    <row r="46" spans="3:9" ht="12.75" customHeight="1">
      <c r="C46" s="1"/>
      <c r="D46" s="1"/>
      <c r="E46" s="1"/>
      <c r="F46" s="1"/>
      <c r="G46" s="1"/>
      <c r="H46" s="1"/>
      <c r="I46" s="1"/>
    </row>
    <row r="47" spans="3:9" ht="12.75" customHeight="1">
      <c r="C47" s="1"/>
      <c r="D47" s="1"/>
      <c r="E47" s="1"/>
      <c r="F47" s="1"/>
      <c r="G47" s="1"/>
      <c r="H47" s="1"/>
      <c r="I47" s="1"/>
    </row>
    <row r="48" spans="3:7" ht="12.75" customHeight="1">
      <c r="C48" s="1"/>
      <c r="D48" s="1"/>
      <c r="G48" s="1"/>
    </row>
    <row r="49" spans="4:7" ht="12.75" customHeight="1">
      <c r="D49" s="1"/>
      <c r="G49" s="1"/>
    </row>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9">
    <mergeCell ref="A1:I1"/>
    <mergeCell ref="A2:I2"/>
    <mergeCell ref="A3:I3"/>
    <mergeCell ref="A4:I4"/>
    <mergeCell ref="C44:J44"/>
    <mergeCell ref="C43:J43"/>
    <mergeCell ref="D8:F8"/>
    <mergeCell ref="C19:J20"/>
    <mergeCell ref="C42:J42"/>
  </mergeCells>
  <printOptions/>
  <pageMargins left="0.5" right="0.5" top="0.5" bottom="0.5" header="0.75" footer="0.25"/>
  <pageSetup horizontalDpi="600" verticalDpi="600" orientation="landscape" r:id="rId2"/>
  <headerFooter alignWithMargins="0">
    <oddFooter>&amp;L&amp;A&amp;R&amp;"Arial,Regular"&amp;8Page 18</oddFooter>
  </headerFooter>
  <drawing r:id="rId1"/>
</worksheet>
</file>

<file path=xl/worksheets/sheet21.xml><?xml version="1.0" encoding="utf-8"?>
<worksheet xmlns="http://schemas.openxmlformats.org/spreadsheetml/2006/main" xmlns:r="http://schemas.openxmlformats.org/officeDocument/2006/relationships">
  <sheetPr codeName="Sheet53"/>
  <dimension ref="A1:BM45"/>
  <sheetViews>
    <sheetView workbookViewId="0" topLeftCell="A1">
      <selection activeCell="A6" sqref="A6"/>
    </sheetView>
  </sheetViews>
  <sheetFormatPr defaultColWidth="9.33203125" defaultRowHeight="12.75"/>
  <cols>
    <col min="1" max="2" width="3.33203125" style="70" customWidth="1"/>
    <col min="3" max="3" width="44.33203125" style="70" customWidth="1"/>
    <col min="4" max="4" width="12.33203125" style="70" customWidth="1"/>
    <col min="5" max="5" width="5.33203125" style="70" customWidth="1"/>
    <col min="6" max="6" width="12.33203125" style="70" customWidth="1"/>
    <col min="7" max="7" width="5.33203125" style="70" customWidth="1"/>
    <col min="8" max="8" width="12.33203125" style="70" customWidth="1"/>
    <col min="9" max="10" width="8.66015625" style="70" customWidth="1"/>
    <col min="11" max="11" width="2.83203125" style="70" customWidth="1"/>
    <col min="12" max="16" width="11.33203125" style="70" customWidth="1"/>
    <col min="17" max="17" width="4" style="70" customWidth="1"/>
    <col min="18" max="19" width="11.33203125" style="70" customWidth="1"/>
    <col min="20" max="16384" width="10.66015625" style="70" customWidth="1"/>
  </cols>
  <sheetData>
    <row r="1" spans="1:19" ht="14.25" customHeight="1">
      <c r="A1" s="593" t="s">
        <v>96</v>
      </c>
      <c r="B1" s="593"/>
      <c r="C1" s="593"/>
      <c r="D1" s="593"/>
      <c r="E1" s="593"/>
      <c r="F1" s="593"/>
      <c r="G1" s="593"/>
      <c r="H1" s="593"/>
      <c r="I1" s="593"/>
      <c r="J1" s="593"/>
      <c r="K1" s="593"/>
      <c r="L1" s="593"/>
      <c r="M1" s="593"/>
      <c r="N1" s="593"/>
      <c r="O1" s="357"/>
      <c r="P1" s="357"/>
      <c r="Q1" s="286"/>
      <c r="R1" s="286"/>
      <c r="S1" s="286"/>
    </row>
    <row r="2" spans="1:19" ht="11.25" customHeight="1">
      <c r="A2" s="589" t="s">
        <v>369</v>
      </c>
      <c r="B2" s="589"/>
      <c r="C2" s="589"/>
      <c r="D2" s="589"/>
      <c r="E2" s="589"/>
      <c r="F2" s="589"/>
      <c r="G2" s="589"/>
      <c r="H2" s="589"/>
      <c r="I2" s="589"/>
      <c r="J2" s="589"/>
      <c r="K2" s="589"/>
      <c r="L2" s="589"/>
      <c r="M2" s="589"/>
      <c r="N2" s="589"/>
      <c r="O2" s="359"/>
      <c r="P2" s="359"/>
      <c r="Q2" s="288"/>
      <c r="R2" s="288"/>
      <c r="S2" s="288"/>
    </row>
    <row r="3" spans="1:19" ht="11.25" customHeight="1">
      <c r="A3" s="595" t="s">
        <v>154</v>
      </c>
      <c r="B3" s="595"/>
      <c r="C3" s="595"/>
      <c r="D3" s="595"/>
      <c r="E3" s="595"/>
      <c r="F3" s="595"/>
      <c r="G3" s="595"/>
      <c r="H3" s="595"/>
      <c r="I3" s="595"/>
      <c r="J3" s="595"/>
      <c r="K3" s="595"/>
      <c r="L3" s="595"/>
      <c r="M3" s="595"/>
      <c r="N3" s="595"/>
      <c r="O3" s="360"/>
      <c r="P3" s="360"/>
      <c r="Q3" s="287"/>
      <c r="R3" s="287"/>
      <c r="S3" s="287"/>
    </row>
    <row r="4" spans="1:19" ht="11.25" customHeight="1">
      <c r="A4" s="595" t="s">
        <v>170</v>
      </c>
      <c r="B4" s="595"/>
      <c r="C4" s="595"/>
      <c r="D4" s="595"/>
      <c r="E4" s="595"/>
      <c r="F4" s="595"/>
      <c r="G4" s="595"/>
      <c r="H4" s="595"/>
      <c r="I4" s="595"/>
      <c r="J4" s="595"/>
      <c r="K4" s="595"/>
      <c r="L4" s="595"/>
      <c r="M4" s="595"/>
      <c r="N4" s="595"/>
      <c r="O4" s="360"/>
      <c r="P4" s="360"/>
      <c r="Q4" s="287"/>
      <c r="R4" s="287"/>
      <c r="S4" s="287"/>
    </row>
    <row r="5" spans="3:65" ht="6" customHeight="1">
      <c r="C5" s="303"/>
      <c r="D5" s="303"/>
      <c r="E5" s="303"/>
      <c r="F5" s="303"/>
      <c r="G5" s="303"/>
      <c r="H5" s="303"/>
      <c r="I5" s="303"/>
      <c r="J5" s="303"/>
      <c r="K5" s="303"/>
      <c r="L5" s="304"/>
      <c r="M5" s="304"/>
      <c r="N5" s="72"/>
      <c r="O5" s="72"/>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row>
    <row r="6" spans="3:65" ht="11.25" customHeight="1">
      <c r="C6" s="539"/>
      <c r="D6" s="303"/>
      <c r="E6" s="303"/>
      <c r="F6" s="303"/>
      <c r="G6" s="303"/>
      <c r="H6" s="303"/>
      <c r="I6" s="303"/>
      <c r="J6" s="303"/>
      <c r="K6" s="303"/>
      <c r="L6" s="304"/>
      <c r="M6" s="304"/>
      <c r="N6" s="72"/>
      <c r="O6" s="72"/>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row>
    <row r="7" spans="3:62" ht="12.75" customHeight="1">
      <c r="C7" s="305" t="s">
        <v>304</v>
      </c>
      <c r="D7" s="305"/>
      <c r="E7" s="305"/>
      <c r="F7" s="305"/>
      <c r="G7" s="305"/>
      <c r="H7" s="305"/>
      <c r="I7" s="305"/>
      <c r="J7" s="305"/>
      <c r="K7" s="305"/>
      <c r="L7" s="44"/>
      <c r="M7" s="44"/>
      <c r="N7" s="307"/>
      <c r="O7" s="307"/>
      <c r="P7" s="307"/>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row>
    <row r="8" spans="3:62" ht="4.5" customHeight="1">
      <c r="C8" s="308"/>
      <c r="D8" s="308"/>
      <c r="E8" s="308"/>
      <c r="F8" s="308"/>
      <c r="G8" s="308"/>
      <c r="H8" s="308"/>
      <c r="I8" s="308"/>
      <c r="J8" s="308"/>
      <c r="K8"/>
      <c r="L8"/>
      <c r="M8"/>
      <c r="N8"/>
      <c r="O8"/>
      <c r="P8"/>
      <c r="Q8"/>
      <c r="R8"/>
      <c r="S8"/>
      <c r="T8"/>
      <c r="U8"/>
      <c r="V8"/>
      <c r="W8"/>
      <c r="X8"/>
      <c r="Y8"/>
      <c r="Z8"/>
      <c r="AA8"/>
      <c r="AB8"/>
      <c r="AC8"/>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row>
    <row r="9" spans="3:62" ht="21.75" customHeight="1">
      <c r="C9" s="539"/>
      <c r="D9" s="309" t="s">
        <v>305</v>
      </c>
      <c r="E9" s="310"/>
      <c r="F9" s="311" t="s">
        <v>306</v>
      </c>
      <c r="G9" s="309"/>
      <c r="H9" s="311" t="s">
        <v>124</v>
      </c>
      <c r="I9" s="1"/>
      <c r="J9" s="7"/>
      <c r="K9"/>
      <c r="L9"/>
      <c r="M9"/>
      <c r="N9"/>
      <c r="O9"/>
      <c r="P9"/>
      <c r="Q9"/>
      <c r="R9"/>
      <c r="S9"/>
      <c r="T9"/>
      <c r="U9"/>
      <c r="V9"/>
      <c r="W9"/>
      <c r="X9"/>
      <c r="Y9"/>
      <c r="Z9"/>
      <c r="AA9"/>
      <c r="AB9"/>
      <c r="AC9"/>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row>
    <row r="10" spans="3:62" ht="6.75" customHeight="1">
      <c r="C10" s="86"/>
      <c r="D10" s="18"/>
      <c r="E10" s="36"/>
      <c r="F10" s="18"/>
      <c r="G10" s="312"/>
      <c r="H10" s="18"/>
      <c r="I10"/>
      <c r="J10"/>
      <c r="K10"/>
      <c r="L10" s="35"/>
      <c r="M10" s="36"/>
      <c r="N10" s="36"/>
      <c r="O10" s="307"/>
      <c r="P10" s="307"/>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row>
    <row r="11" spans="3:62" ht="12.75" customHeight="1">
      <c r="C11" s="308"/>
      <c r="D11" s="124"/>
      <c r="E11" s="314"/>
      <c r="F11" s="124"/>
      <c r="G11" s="315"/>
      <c r="H11" s="124"/>
      <c r="I11" s="316"/>
      <c r="J11" s="316"/>
      <c r="K11" s="64"/>
      <c r="Q11" s="54"/>
      <c r="R11" s="54"/>
      <c r="S11" s="54"/>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row>
    <row r="12" spans="3:62" ht="12.75" customHeight="1">
      <c r="C12" s="308" t="s">
        <v>357</v>
      </c>
      <c r="D12" s="317">
        <v>710</v>
      </c>
      <c r="E12" s="318"/>
      <c r="F12" s="317">
        <v>481</v>
      </c>
      <c r="G12" s="319"/>
      <c r="H12" s="317">
        <f>+D12+F12</f>
        <v>1191</v>
      </c>
      <c r="I12" s="320"/>
      <c r="J12" s="321"/>
      <c r="K12" s="322"/>
      <c r="L12" s="54"/>
      <c r="M12" s="54"/>
      <c r="Q12" s="54"/>
      <c r="R12" s="54"/>
      <c r="S12" s="54"/>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row>
    <row r="13" spans="3:62" ht="11.25" customHeight="1">
      <c r="C13" s="323" t="s">
        <v>394</v>
      </c>
      <c r="D13" s="55">
        <v>32</v>
      </c>
      <c r="E13" s="107"/>
      <c r="F13" s="55">
        <v>304</v>
      </c>
      <c r="G13" s="55"/>
      <c r="H13" s="55">
        <f>SUM(D13:F13)</f>
        <v>336</v>
      </c>
      <c r="I13" s="322"/>
      <c r="J13" s="321"/>
      <c r="K13" s="322"/>
      <c r="L13" s="54"/>
      <c r="M13" s="54"/>
      <c r="Q13" s="54"/>
      <c r="R13" s="54"/>
      <c r="S13" s="54"/>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row>
    <row r="14" spans="3:62" ht="11.25" customHeight="1">
      <c r="C14" s="323" t="s">
        <v>307</v>
      </c>
      <c r="D14" s="18">
        <f>+D13/D12</f>
        <v>0.04507042253521127</v>
      </c>
      <c r="E14" s="36"/>
      <c r="F14" s="18">
        <f>+F13/F12</f>
        <v>0.632016632016632</v>
      </c>
      <c r="G14" s="324"/>
      <c r="H14" s="18">
        <f>+H13/H12</f>
        <v>0.28211586901763225</v>
      </c>
      <c r="I14" s="316"/>
      <c r="J14" s="316"/>
      <c r="K14" s="64"/>
      <c r="Q14" s="54"/>
      <c r="R14" s="54"/>
      <c r="S14" s="54"/>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row>
    <row r="15" spans="3:62" ht="16.5" customHeight="1" thickBot="1">
      <c r="C15" s="308" t="s">
        <v>452</v>
      </c>
      <c r="D15" s="325">
        <f>+D12-D13</f>
        <v>678</v>
      </c>
      <c r="E15" s="326"/>
      <c r="F15" s="325">
        <f>+F12-F13</f>
        <v>177</v>
      </c>
      <c r="G15" s="327"/>
      <c r="H15" s="325">
        <f>+D15+F15</f>
        <v>855</v>
      </c>
      <c r="I15" s="316"/>
      <c r="J15" s="316"/>
      <c r="K15" s="64"/>
      <c r="Q15" s="54"/>
      <c r="R15" s="54"/>
      <c r="S15" s="54"/>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row>
    <row r="16" spans="3:62" ht="12" customHeight="1" thickTop="1">
      <c r="C16" s="308"/>
      <c r="D16" s="313"/>
      <c r="E16" s="314"/>
      <c r="F16" s="313"/>
      <c r="G16" s="315"/>
      <c r="H16" s="313"/>
      <c r="I16" s="316"/>
      <c r="J16" s="316"/>
      <c r="K16" s="64"/>
      <c r="Q16" s="54"/>
      <c r="R16" s="54"/>
      <c r="S16" s="54"/>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row>
    <row r="17" spans="3:62" ht="13.5" customHeight="1">
      <c r="C17" s="308" t="s">
        <v>355</v>
      </c>
      <c r="D17" s="317">
        <v>869</v>
      </c>
      <c r="E17" s="318"/>
      <c r="F17" s="317">
        <v>462</v>
      </c>
      <c r="G17" s="319"/>
      <c r="H17" s="317">
        <f>+D17+F17</f>
        <v>1331</v>
      </c>
      <c r="I17" s="316"/>
      <c r="J17" s="316"/>
      <c r="K17" s="64"/>
      <c r="Q17" s="54"/>
      <c r="R17" s="54"/>
      <c r="S17" s="54"/>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row>
    <row r="18" spans="3:62" ht="12.75" customHeight="1">
      <c r="C18" s="323" t="s">
        <v>395</v>
      </c>
      <c r="D18" s="55">
        <v>49</v>
      </c>
      <c r="E18" s="107"/>
      <c r="F18" s="55">
        <v>277</v>
      </c>
      <c r="G18" s="55"/>
      <c r="H18" s="55">
        <f>SUM(D18:F18)</f>
        <v>326</v>
      </c>
      <c r="I18" s="316"/>
      <c r="J18" s="316"/>
      <c r="K18" s="64"/>
      <c r="Q18" s="54"/>
      <c r="R18" s="54"/>
      <c r="S18" s="54"/>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row>
    <row r="19" spans="3:62" ht="14.25" customHeight="1">
      <c r="C19" s="323" t="s">
        <v>307</v>
      </c>
      <c r="D19" s="18">
        <f>+D18/D17</f>
        <v>0.05638665132336018</v>
      </c>
      <c r="E19" s="36"/>
      <c r="F19" s="18">
        <f>+F18/F17</f>
        <v>0.5995670995670995</v>
      </c>
      <c r="G19" s="324"/>
      <c r="H19" s="18">
        <f>+H18/H17</f>
        <v>0.24492862509391436</v>
      </c>
      <c r="I19" s="316"/>
      <c r="J19" s="316"/>
      <c r="K19" s="64"/>
      <c r="Q19" s="54"/>
      <c r="R19" s="54"/>
      <c r="S19" s="54"/>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row>
    <row r="20" spans="3:62" ht="16.5" customHeight="1" thickBot="1">
      <c r="C20" s="308" t="s">
        <v>453</v>
      </c>
      <c r="D20" s="325">
        <f>+D17-D18</f>
        <v>820</v>
      </c>
      <c r="E20" s="326"/>
      <c r="F20" s="325">
        <f>+F17-F18</f>
        <v>185</v>
      </c>
      <c r="G20" s="327"/>
      <c r="H20" s="325">
        <f>+D20+F20</f>
        <v>1005</v>
      </c>
      <c r="I20" s="316"/>
      <c r="J20" s="316"/>
      <c r="K20" s="64"/>
      <c r="Q20" s="54"/>
      <c r="R20" s="54"/>
      <c r="S20" s="54"/>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row>
    <row r="21" spans="3:62" ht="12" customHeight="1" thickTop="1">
      <c r="C21" s="308"/>
      <c r="D21" s="313"/>
      <c r="E21" s="314"/>
      <c r="F21" s="313"/>
      <c r="G21" s="315"/>
      <c r="H21" s="313"/>
      <c r="I21" s="316"/>
      <c r="J21" s="316"/>
      <c r="K21" s="64"/>
      <c r="Q21" s="54"/>
      <c r="R21" s="54"/>
      <c r="S21" s="54"/>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row>
    <row r="22" spans="3:62" ht="14.25" customHeight="1">
      <c r="C22" s="308" t="s">
        <v>407</v>
      </c>
      <c r="D22" s="317">
        <v>988</v>
      </c>
      <c r="E22" s="318"/>
      <c r="F22" s="317">
        <v>392</v>
      </c>
      <c r="G22" s="319"/>
      <c r="H22" s="317">
        <f>+D22+F22</f>
        <v>1380</v>
      </c>
      <c r="I22" s="316"/>
      <c r="J22" s="316"/>
      <c r="K22" s="64"/>
      <c r="Q22" s="54"/>
      <c r="R22" s="54"/>
      <c r="S22" s="54"/>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row>
    <row r="23" spans="3:62" ht="12.75" customHeight="1">
      <c r="C23" s="323" t="s">
        <v>403</v>
      </c>
      <c r="D23" s="55">
        <v>62</v>
      </c>
      <c r="E23" s="107"/>
      <c r="F23" s="55">
        <v>229</v>
      </c>
      <c r="G23" s="55"/>
      <c r="H23" s="55">
        <f>SUM(D23:F23)</f>
        <v>291</v>
      </c>
      <c r="I23" s="316"/>
      <c r="J23" s="316"/>
      <c r="K23" s="64"/>
      <c r="Q23" s="54"/>
      <c r="R23" s="54"/>
      <c r="S23" s="54"/>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row>
    <row r="24" spans="3:62" ht="14.25" customHeight="1">
      <c r="C24" s="323" t="s">
        <v>307</v>
      </c>
      <c r="D24" s="18">
        <f>+D23/D22</f>
        <v>0.06275303643724696</v>
      </c>
      <c r="E24" s="36"/>
      <c r="F24" s="18">
        <f>+F23/F22</f>
        <v>0.5841836734693877</v>
      </c>
      <c r="G24" s="324"/>
      <c r="H24" s="18">
        <f>+H23/H22</f>
        <v>0.2108695652173913</v>
      </c>
      <c r="I24" s="316"/>
      <c r="J24" s="316"/>
      <c r="K24" s="64"/>
      <c r="Q24" s="54"/>
      <c r="R24" s="54"/>
      <c r="S24" s="54"/>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row>
    <row r="25" spans="3:62" ht="16.5" customHeight="1" thickBot="1">
      <c r="C25" s="308" t="s">
        <v>454</v>
      </c>
      <c r="D25" s="325">
        <f>+D22-D23</f>
        <v>926</v>
      </c>
      <c r="E25" s="326"/>
      <c r="F25" s="325">
        <f>+F22-F23</f>
        <v>163</v>
      </c>
      <c r="G25" s="327"/>
      <c r="H25" s="325">
        <f>+D25+F25</f>
        <v>1089</v>
      </c>
      <c r="I25" s="316"/>
      <c r="J25" s="316"/>
      <c r="K25" s="64"/>
      <c r="Q25" s="54"/>
      <c r="R25" s="54"/>
      <c r="S25" s="54"/>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row>
    <row r="26" spans="3:62" ht="12" customHeight="1" thickTop="1">
      <c r="C26" s="308"/>
      <c r="D26" s="313"/>
      <c r="E26" s="314"/>
      <c r="F26" s="313"/>
      <c r="G26" s="315"/>
      <c r="H26" s="313"/>
      <c r="I26" s="316"/>
      <c r="J26" s="316"/>
      <c r="K26" s="64"/>
      <c r="Q26" s="54"/>
      <c r="R26" s="54"/>
      <c r="S26" s="54"/>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row>
    <row r="27" spans="3:62" ht="14.25" customHeight="1">
      <c r="C27" s="308" t="s">
        <v>411</v>
      </c>
      <c r="D27" s="317">
        <v>893</v>
      </c>
      <c r="E27" s="318"/>
      <c r="F27" s="317">
        <v>370</v>
      </c>
      <c r="G27" s="319"/>
      <c r="H27" s="317">
        <f>+D27+F27</f>
        <v>1263</v>
      </c>
      <c r="I27" s="316"/>
      <c r="J27" s="316"/>
      <c r="K27" s="64"/>
      <c r="Q27" s="54"/>
      <c r="R27" s="54"/>
      <c r="S27" s="54"/>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row>
    <row r="28" spans="3:62" ht="12.75" customHeight="1">
      <c r="C28" s="323" t="s">
        <v>412</v>
      </c>
      <c r="D28" s="55">
        <v>53</v>
      </c>
      <c r="E28" s="107"/>
      <c r="F28" s="55">
        <v>199</v>
      </c>
      <c r="G28" s="55"/>
      <c r="H28" s="55">
        <f>SUM(D28:F28)</f>
        <v>252</v>
      </c>
      <c r="I28" s="316"/>
      <c r="J28" s="316"/>
      <c r="K28" s="64"/>
      <c r="Q28" s="54"/>
      <c r="R28" s="54"/>
      <c r="S28" s="54"/>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row>
    <row r="29" spans="3:62" ht="14.25" customHeight="1">
      <c r="C29" s="323" t="s">
        <v>307</v>
      </c>
      <c r="D29" s="18">
        <f>+D28/D27</f>
        <v>0.0593505039193729</v>
      </c>
      <c r="E29" s="36"/>
      <c r="F29" s="18">
        <f>+F28/F27</f>
        <v>0.5378378378378378</v>
      </c>
      <c r="G29" s="324"/>
      <c r="H29" s="18">
        <f>+H28/H27</f>
        <v>0.1995249406175772</v>
      </c>
      <c r="I29" s="316"/>
      <c r="J29" s="316"/>
      <c r="K29" s="64"/>
      <c r="Q29" s="54"/>
      <c r="R29" s="54"/>
      <c r="S29" s="54"/>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row>
    <row r="30" spans="3:62" ht="16.5" customHeight="1" thickBot="1">
      <c r="C30" s="308" t="s">
        <v>455</v>
      </c>
      <c r="D30" s="325">
        <f>+D27-D28</f>
        <v>840</v>
      </c>
      <c r="E30" s="326"/>
      <c r="F30" s="325">
        <f>+F27-F28</f>
        <v>171</v>
      </c>
      <c r="G30" s="327"/>
      <c r="H30" s="325">
        <f>+D30+F30</f>
        <v>1011</v>
      </c>
      <c r="I30" s="316"/>
      <c r="J30" s="316"/>
      <c r="K30" s="64"/>
      <c r="Q30" s="54"/>
      <c r="R30" s="54"/>
      <c r="S30" s="54"/>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row>
    <row r="31" spans="3:62" ht="12" customHeight="1" thickTop="1">
      <c r="C31" s="308"/>
      <c r="D31" s="313"/>
      <c r="E31" s="314"/>
      <c r="F31" s="313"/>
      <c r="G31" s="315"/>
      <c r="H31" s="313"/>
      <c r="I31" s="316"/>
      <c r="J31" s="316"/>
      <c r="K31" s="64"/>
      <c r="Q31" s="54"/>
      <c r="R31" s="54"/>
      <c r="S31" s="54"/>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row>
    <row r="32" spans="3:62" ht="14.25" customHeight="1">
      <c r="C32" s="308" t="s">
        <v>443</v>
      </c>
      <c r="D32" s="317">
        <v>930</v>
      </c>
      <c r="E32" s="318"/>
      <c r="F32" s="317">
        <v>386</v>
      </c>
      <c r="G32" s="319"/>
      <c r="H32" s="317">
        <f>+D32+F32</f>
        <v>1316</v>
      </c>
      <c r="I32" s="316"/>
      <c r="J32" s="316"/>
      <c r="K32" s="64"/>
      <c r="Q32" s="54"/>
      <c r="R32" s="54"/>
      <c r="S32" s="54"/>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row>
    <row r="33" spans="3:62" ht="12.75" customHeight="1">
      <c r="C33" s="323" t="s">
        <v>444</v>
      </c>
      <c r="D33" s="55">
        <v>54</v>
      </c>
      <c r="E33" s="107"/>
      <c r="F33" s="55">
        <v>201</v>
      </c>
      <c r="G33" s="55"/>
      <c r="H33" s="55">
        <f>SUM(D33:F33)</f>
        <v>255</v>
      </c>
      <c r="I33" s="316"/>
      <c r="J33" s="316"/>
      <c r="K33" s="64"/>
      <c r="Q33" s="54"/>
      <c r="R33" s="54"/>
      <c r="S33" s="54"/>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row>
    <row r="34" spans="3:62" ht="14.25" customHeight="1">
      <c r="C34" s="323" t="s">
        <v>307</v>
      </c>
      <c r="D34" s="18">
        <f>+D33/D32</f>
        <v>0.05806451612903226</v>
      </c>
      <c r="E34" s="36"/>
      <c r="F34" s="18">
        <f>+F33/F32</f>
        <v>0.5207253886010362</v>
      </c>
      <c r="G34" s="324"/>
      <c r="H34" s="18">
        <f>+H33/H32</f>
        <v>0.19376899696048633</v>
      </c>
      <c r="I34" s="316"/>
      <c r="J34" s="316"/>
      <c r="K34" s="64"/>
      <c r="Q34" s="54"/>
      <c r="R34" s="54"/>
      <c r="S34" s="54"/>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row>
    <row r="35" spans="3:62" ht="16.5" customHeight="1" thickBot="1">
      <c r="C35" s="308" t="s">
        <v>445</v>
      </c>
      <c r="D35" s="325">
        <f>+D32-D33</f>
        <v>876</v>
      </c>
      <c r="E35" s="326"/>
      <c r="F35" s="325">
        <f>+F32-F33</f>
        <v>185</v>
      </c>
      <c r="G35" s="327"/>
      <c r="H35" s="325">
        <f>+D35+F35</f>
        <v>1061</v>
      </c>
      <c r="I35" s="316"/>
      <c r="J35" s="316"/>
      <c r="K35" s="64"/>
      <c r="Q35" s="54"/>
      <c r="R35" s="54"/>
      <c r="S35" s="54"/>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row>
    <row r="36" spans="3:62" ht="8.25" customHeight="1" thickTop="1">
      <c r="C36" s="308"/>
      <c r="D36" s="313"/>
      <c r="E36" s="314"/>
      <c r="F36" s="313"/>
      <c r="G36" s="315"/>
      <c r="H36" s="313"/>
      <c r="I36" s="316"/>
      <c r="J36" s="316"/>
      <c r="K36" s="64"/>
      <c r="Q36" s="54"/>
      <c r="R36" s="54"/>
      <c r="S36" s="54"/>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row>
    <row r="37" spans="3:62" ht="16.5" customHeight="1">
      <c r="C37" s="630" t="s">
        <v>547</v>
      </c>
      <c r="D37" s="631"/>
      <c r="E37" s="631"/>
      <c r="F37" s="631"/>
      <c r="G37" s="631"/>
      <c r="H37" s="631"/>
      <c r="I37" s="631"/>
      <c r="J37" s="631"/>
      <c r="K37" s="328"/>
      <c r="L37" s="329"/>
      <c r="M37" s="329"/>
      <c r="N37" s="329"/>
      <c r="O37" s="329"/>
      <c r="P37" s="329"/>
      <c r="Q37" s="330"/>
      <c r="R37" s="330"/>
      <c r="S37" s="330"/>
      <c r="T37" s="78"/>
      <c r="U37" s="78"/>
      <c r="V37" s="78"/>
      <c r="W37" s="78"/>
      <c r="X37" s="78"/>
      <c r="Y37" s="78"/>
      <c r="Z37" s="78"/>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row>
    <row r="38" spans="3:62" ht="33" customHeight="1">
      <c r="C38" s="630" t="s">
        <v>548</v>
      </c>
      <c r="D38" s="631"/>
      <c r="E38" s="631"/>
      <c r="F38" s="631"/>
      <c r="G38" s="631"/>
      <c r="H38" s="631"/>
      <c r="I38" s="631"/>
      <c r="J38" s="631"/>
      <c r="K38" s="328"/>
      <c r="L38" s="331"/>
      <c r="M38" s="331"/>
      <c r="N38" s="331"/>
      <c r="O38" s="331"/>
      <c r="P38" s="331"/>
      <c r="Q38" s="332"/>
      <c r="R38" s="330"/>
      <c r="S38" s="330"/>
      <c r="T38" s="78"/>
      <c r="U38" s="78"/>
      <c r="V38" s="78"/>
      <c r="W38" s="78"/>
      <c r="X38" s="78"/>
      <c r="Y38" s="78"/>
      <c r="Z38" s="78"/>
      <c r="AA38" s="78"/>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row>
    <row r="39" spans="3:16" s="1" customFormat="1" ht="21.75" customHeight="1">
      <c r="C39" s="591" t="s">
        <v>549</v>
      </c>
      <c r="D39" s="592"/>
      <c r="E39" s="592"/>
      <c r="F39" s="592"/>
      <c r="G39" s="592"/>
      <c r="H39" s="592"/>
      <c r="I39" s="592"/>
      <c r="J39" s="592"/>
      <c r="K39" s="24"/>
      <c r="M39" s="12"/>
      <c r="P39" s="54"/>
    </row>
    <row r="40" spans="6:16" s="1" customFormat="1" ht="12.75">
      <c r="F40" s="79"/>
      <c r="G40" s="79"/>
      <c r="J40" s="24"/>
      <c r="K40" s="24"/>
      <c r="M40" s="12"/>
      <c r="P40" s="54"/>
    </row>
    <row r="41" spans="6:16" s="1" customFormat="1" ht="12.75">
      <c r="F41" s="333"/>
      <c r="G41" s="333"/>
      <c r="J41" s="24"/>
      <c r="K41" s="24"/>
      <c r="M41" s="12"/>
      <c r="P41" s="54"/>
    </row>
    <row r="42" spans="6:16" s="1" customFormat="1" ht="12.75">
      <c r="F42" s="24"/>
      <c r="G42" s="24"/>
      <c r="J42" s="334"/>
      <c r="K42" s="334"/>
      <c r="P42" s="54"/>
    </row>
    <row r="43" spans="6:11" s="1" customFormat="1" ht="11.25">
      <c r="F43" s="24"/>
      <c r="G43" s="24"/>
      <c r="J43" s="24"/>
      <c r="K43" s="24"/>
    </row>
    <row r="44" spans="6:11" s="1" customFormat="1" ht="11.25">
      <c r="F44" s="24"/>
      <c r="G44" s="24"/>
      <c r="J44" s="24"/>
      <c r="K44" s="24"/>
    </row>
    <row r="45" spans="6:11" s="1" customFormat="1" ht="11.25">
      <c r="F45" s="24"/>
      <c r="G45" s="24"/>
      <c r="J45" s="24"/>
      <c r="K45" s="24"/>
    </row>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7">
    <mergeCell ref="C39:J39"/>
    <mergeCell ref="C37:J37"/>
    <mergeCell ref="C38:J38"/>
    <mergeCell ref="A1:N1"/>
    <mergeCell ref="A2:N2"/>
    <mergeCell ref="A3:N3"/>
    <mergeCell ref="A4:N4"/>
  </mergeCells>
  <hyperlinks>
    <hyperlink ref="K78" location="'Loss Reserve Rollforward'!c50" display="'Loss Reserve Rollforward'!c50"/>
    <hyperlink ref="E51" location="'Consol Bal Sheet'!j17" display="'Consol Bal Sheet'!j17"/>
    <hyperlink ref="E78" location="'Loss Reserve Rollforward'!C45" display="'Loss Reserve Rollforward'!C45"/>
  </hyperlinks>
  <printOptions/>
  <pageMargins left="0.5" right="0.5" top="0.5" bottom="0.5" header="0.75" footer="0.25"/>
  <pageSetup horizontalDpi="600" verticalDpi="600" orientation="landscape" r:id="rId2"/>
  <headerFooter alignWithMargins="0">
    <oddFooter>&amp;L&amp;A&amp;R&amp;"Arial,Regular"&amp;8Page 19</oddFooter>
  </headerFooter>
  <drawing r:id="rId1"/>
</worksheet>
</file>

<file path=xl/worksheets/sheet22.xml><?xml version="1.0" encoding="utf-8"?>
<worksheet xmlns="http://schemas.openxmlformats.org/spreadsheetml/2006/main" xmlns:r="http://schemas.openxmlformats.org/officeDocument/2006/relationships">
  <sheetPr codeName="Sheet28"/>
  <dimension ref="A1:AO88"/>
  <sheetViews>
    <sheetView workbookViewId="0" topLeftCell="A1">
      <selection activeCell="A5" sqref="A5"/>
    </sheetView>
  </sheetViews>
  <sheetFormatPr defaultColWidth="9.33203125" defaultRowHeight="12.75"/>
  <cols>
    <col min="1" max="1" width="3.33203125" style="1" customWidth="1"/>
    <col min="2" max="2" width="2.83203125" style="1" customWidth="1"/>
    <col min="3" max="3" width="39" style="1" customWidth="1"/>
    <col min="4" max="4" width="2.83203125" style="1" customWidth="1"/>
    <col min="5" max="5" width="15.5" style="1" customWidth="1"/>
    <col min="6" max="6" width="2.83203125" style="1" customWidth="1"/>
    <col min="7" max="7" width="15.5" style="1" customWidth="1"/>
    <col min="8" max="8" width="2.83203125" style="1" customWidth="1"/>
    <col min="9" max="9" width="15.33203125" style="1" customWidth="1"/>
    <col min="10" max="10" width="2.83203125" style="1" customWidth="1"/>
    <col min="11" max="11" width="15.5" style="1" customWidth="1"/>
    <col min="12" max="12" width="2.83203125" style="1" customWidth="1"/>
    <col min="13" max="13" width="15.5" style="1" customWidth="1"/>
    <col min="14" max="14" width="2.83203125" style="1" customWidth="1"/>
    <col min="15" max="15" width="15.5" style="1" customWidth="1"/>
    <col min="16" max="16" width="2.83203125" style="1" customWidth="1"/>
    <col min="17" max="17" width="15.5" style="1" customWidth="1"/>
    <col min="18" max="19" width="2.83203125" style="1" customWidth="1"/>
    <col min="20" max="20" width="14.83203125" style="1" customWidth="1"/>
    <col min="21" max="23" width="9.5" style="1" customWidth="1"/>
    <col min="24" max="24" width="6.16015625" style="1" customWidth="1"/>
    <col min="25" max="25" width="9.66015625" style="1" customWidth="1"/>
    <col min="26" max="26" width="8.5" style="1" customWidth="1"/>
    <col min="27" max="27" width="9.33203125" style="1" customWidth="1"/>
    <col min="28" max="16384" width="8.16015625" style="1" customWidth="1"/>
  </cols>
  <sheetData>
    <row r="1" spans="1:28" ht="12.75">
      <c r="A1" s="632" t="s">
        <v>96</v>
      </c>
      <c r="B1" s="632"/>
      <c r="C1" s="632"/>
      <c r="D1" s="632"/>
      <c r="E1" s="632"/>
      <c r="F1" s="632"/>
      <c r="G1" s="632"/>
      <c r="H1" s="632"/>
      <c r="I1" s="632"/>
      <c r="J1" s="632"/>
      <c r="K1" s="632"/>
      <c r="L1" s="632"/>
      <c r="M1" s="632"/>
      <c r="N1" s="632"/>
      <c r="O1" s="358"/>
      <c r="P1" s="358"/>
      <c r="Q1" s="358"/>
      <c r="R1" s="358"/>
      <c r="S1" s="358"/>
      <c r="T1" s="358"/>
      <c r="U1" s="89"/>
      <c r="V1" s="89"/>
      <c r="W1" s="89"/>
      <c r="X1" s="89"/>
      <c r="Y1" s="89"/>
      <c r="Z1" s="89"/>
      <c r="AA1" s="89"/>
      <c r="AB1" s="89"/>
    </row>
    <row r="2" spans="1:28" ht="12.75" customHeight="1">
      <c r="A2" s="618" t="s">
        <v>203</v>
      </c>
      <c r="B2" s="618"/>
      <c r="C2" s="618"/>
      <c r="D2" s="618"/>
      <c r="E2" s="618"/>
      <c r="F2" s="618"/>
      <c r="G2" s="618"/>
      <c r="H2" s="618"/>
      <c r="I2" s="618"/>
      <c r="J2" s="618"/>
      <c r="K2" s="618"/>
      <c r="L2" s="618"/>
      <c r="M2" s="618"/>
      <c r="N2" s="618"/>
      <c r="O2" s="56"/>
      <c r="P2" s="56"/>
      <c r="Q2" s="56"/>
      <c r="R2" s="56"/>
      <c r="S2" s="56"/>
      <c r="T2" s="56"/>
      <c r="U2" s="89"/>
      <c r="V2" s="89"/>
      <c r="W2" s="89"/>
      <c r="X2" s="89"/>
      <c r="Y2" s="89"/>
      <c r="Z2" s="89"/>
      <c r="AA2" s="89"/>
      <c r="AB2" s="89"/>
    </row>
    <row r="3" spans="1:28" ht="12.75" customHeight="1">
      <c r="A3" s="633" t="s">
        <v>154</v>
      </c>
      <c r="B3" s="633"/>
      <c r="C3" s="633"/>
      <c r="D3" s="633"/>
      <c r="E3" s="633"/>
      <c r="F3" s="633"/>
      <c r="G3" s="633"/>
      <c r="H3" s="633"/>
      <c r="I3" s="633"/>
      <c r="J3" s="633"/>
      <c r="K3" s="633"/>
      <c r="L3" s="633"/>
      <c r="M3" s="633"/>
      <c r="N3" s="633"/>
      <c r="O3" s="361"/>
      <c r="P3" s="361"/>
      <c r="Q3" s="361"/>
      <c r="R3" s="361"/>
      <c r="S3" s="361"/>
      <c r="T3" s="361"/>
      <c r="U3" s="89"/>
      <c r="V3" s="89"/>
      <c r="W3" s="89"/>
      <c r="X3" s="89"/>
      <c r="Y3" s="89"/>
      <c r="Z3" s="89"/>
      <c r="AA3" s="89"/>
      <c r="AB3" s="89"/>
    </row>
    <row r="4" spans="1:28" ht="12.75" customHeight="1">
      <c r="A4" s="633" t="s">
        <v>170</v>
      </c>
      <c r="B4" s="633"/>
      <c r="C4" s="633"/>
      <c r="D4" s="633"/>
      <c r="E4" s="633"/>
      <c r="F4" s="633"/>
      <c r="G4" s="633"/>
      <c r="H4" s="633"/>
      <c r="I4" s="633"/>
      <c r="J4" s="633"/>
      <c r="K4" s="633"/>
      <c r="L4" s="633"/>
      <c r="M4" s="633"/>
      <c r="N4" s="633"/>
      <c r="O4" s="361"/>
      <c r="P4" s="361"/>
      <c r="Q4" s="361"/>
      <c r="R4" s="361"/>
      <c r="S4" s="361"/>
      <c r="T4" s="361"/>
      <c r="U4" s="89"/>
      <c r="V4" s="89"/>
      <c r="W4" s="89"/>
      <c r="X4" s="89"/>
      <c r="Y4" s="89"/>
      <c r="Z4" s="89"/>
      <c r="AA4" s="89"/>
      <c r="AB4" s="89"/>
    </row>
    <row r="5" spans="3:17" ht="11.25" customHeight="1">
      <c r="C5" s="539"/>
      <c r="D5" s="539"/>
      <c r="E5" s="539"/>
      <c r="M5" s="7"/>
      <c r="N5" s="7"/>
      <c r="O5" s="7"/>
      <c r="P5" s="7"/>
      <c r="Q5" s="7"/>
    </row>
    <row r="6" spans="3:20" ht="12" customHeight="1">
      <c r="C6" s="202"/>
      <c r="D6" s="202"/>
      <c r="E6" s="277" t="s">
        <v>221</v>
      </c>
      <c r="F6" s="202"/>
      <c r="G6" s="277" t="s">
        <v>410</v>
      </c>
      <c r="H6" s="202"/>
      <c r="I6" s="277" t="s">
        <v>402</v>
      </c>
      <c r="J6" s="202"/>
      <c r="K6" s="277" t="s">
        <v>222</v>
      </c>
      <c r="L6" s="202"/>
      <c r="M6" s="277" t="s">
        <v>221</v>
      </c>
      <c r="N6" s="277"/>
      <c r="O6" s="277"/>
      <c r="P6" s="277"/>
      <c r="Q6" s="277"/>
      <c r="R6"/>
      <c r="S6"/>
      <c r="T6"/>
    </row>
    <row r="7" spans="5:20" ht="12" customHeight="1">
      <c r="E7" s="200">
        <v>2006</v>
      </c>
      <c r="G7" s="200">
        <v>2006</v>
      </c>
      <c r="I7" s="200">
        <v>2006</v>
      </c>
      <c r="K7" s="200">
        <v>2006</v>
      </c>
      <c r="L7" s="183"/>
      <c r="M7" s="200">
        <v>2005</v>
      </c>
      <c r="N7" s="162"/>
      <c r="O7" s="521"/>
      <c r="P7" s="162"/>
      <c r="Q7" s="521"/>
      <c r="R7"/>
      <c r="S7"/>
      <c r="T7"/>
    </row>
    <row r="8" spans="3:20" ht="12" customHeight="1">
      <c r="C8" s="183" t="s">
        <v>241</v>
      </c>
      <c r="D8" s="183"/>
      <c r="E8" s="44"/>
      <c r="F8" s="183"/>
      <c r="G8" s="44"/>
      <c r="H8" s="183"/>
      <c r="I8" s="44"/>
      <c r="J8" s="183"/>
      <c r="K8" s="44"/>
      <c r="L8" s="44"/>
      <c r="M8" s="44"/>
      <c r="N8" s="162"/>
      <c r="O8" s="124"/>
      <c r="P8" s="162"/>
      <c r="Q8" s="124"/>
      <c r="R8"/>
      <c r="S8"/>
      <c r="T8"/>
    </row>
    <row r="9" spans="3:20" ht="12" customHeight="1">
      <c r="C9" s="1" t="s">
        <v>309</v>
      </c>
      <c r="E9" s="33">
        <f>+'Consol Bal Sheet'!E9</f>
        <v>28540</v>
      </c>
      <c r="G9" s="33">
        <f>+'Consol Bal Sheet'!G9</f>
        <v>27069</v>
      </c>
      <c r="I9" s="33">
        <f>+'Consol Bal Sheet'!I9</f>
        <v>25962</v>
      </c>
      <c r="K9" s="33">
        <f>+'Consol Bal Sheet'!K9</f>
        <v>25411</v>
      </c>
      <c r="M9" s="33">
        <f>+'Consol Bal Sheet'!M9</f>
        <v>24285</v>
      </c>
      <c r="N9" s="428"/>
      <c r="O9" s="34"/>
      <c r="P9" s="428"/>
      <c r="Q9" s="34"/>
      <c r="R9"/>
      <c r="S9"/>
      <c r="T9"/>
    </row>
    <row r="10" spans="3:20" ht="12" customHeight="1">
      <c r="C10" s="1" t="s">
        <v>310</v>
      </c>
      <c r="E10" s="65">
        <v>3015</v>
      </c>
      <c r="G10" s="65">
        <v>3051</v>
      </c>
      <c r="I10" s="65">
        <v>3050</v>
      </c>
      <c r="K10" s="65">
        <v>3045</v>
      </c>
      <c r="M10" s="65">
        <v>3055</v>
      </c>
      <c r="N10" s="428"/>
      <c r="O10" s="40"/>
      <c r="P10" s="428"/>
      <c r="Q10" s="55"/>
      <c r="R10"/>
      <c r="S10"/>
      <c r="T10"/>
    </row>
    <row r="11" spans="3:20" ht="12" customHeight="1">
      <c r="C11" s="1" t="s">
        <v>92</v>
      </c>
      <c r="E11" s="65">
        <f>+'Consol Bal Sheet'!E12</f>
        <v>2456</v>
      </c>
      <c r="G11" s="65">
        <f>+'Consol Bal Sheet'!G12</f>
        <v>3009</v>
      </c>
      <c r="I11" s="65">
        <f>+'Consol Bal Sheet'!I12</f>
        <v>3125</v>
      </c>
      <c r="K11" s="65">
        <f>+'Consol Bal Sheet'!K12</f>
        <v>2452</v>
      </c>
      <c r="M11" s="65">
        <f>+'Consol Bal Sheet'!M12</f>
        <v>2299</v>
      </c>
      <c r="N11" s="428"/>
      <c r="O11" s="40"/>
      <c r="P11" s="428"/>
      <c r="Q11" s="40"/>
      <c r="R11"/>
      <c r="S11"/>
      <c r="T11"/>
    </row>
    <row r="12" spans="3:20" ht="12.75" customHeight="1" thickBot="1">
      <c r="C12" s="176" t="s">
        <v>65</v>
      </c>
      <c r="D12" s="176"/>
      <c r="E12" s="198">
        <f>SUM(E9:E11)</f>
        <v>34011</v>
      </c>
      <c r="F12" s="176"/>
      <c r="G12" s="198">
        <f>SUM(G9:G11)</f>
        <v>33129</v>
      </c>
      <c r="H12" s="176"/>
      <c r="I12" s="198">
        <f>SUM(I9:I11)</f>
        <v>32137</v>
      </c>
      <c r="J12" s="176"/>
      <c r="K12" s="198">
        <f>SUM(K9:K11)</f>
        <v>30908</v>
      </c>
      <c r="L12" s="176"/>
      <c r="M12" s="198">
        <f>SUM(M9:M11)</f>
        <v>29639</v>
      </c>
      <c r="N12" s="428"/>
      <c r="O12" s="219"/>
      <c r="P12" s="428"/>
      <c r="Q12" s="219"/>
      <c r="R12"/>
      <c r="S12"/>
      <c r="T12"/>
    </row>
    <row r="13" spans="5:20" ht="4.5" customHeight="1" thickTop="1">
      <c r="E13" s="44"/>
      <c r="G13" s="44"/>
      <c r="I13" s="44"/>
      <c r="K13" s="44"/>
      <c r="M13" s="44"/>
      <c r="N13" s="428"/>
      <c r="O13" s="77"/>
      <c r="P13" s="428"/>
      <c r="Q13" s="34"/>
      <c r="R13"/>
      <c r="S13"/>
      <c r="T13"/>
    </row>
    <row r="14" spans="3:41" ht="12" customHeight="1">
      <c r="C14" s="183" t="s">
        <v>144</v>
      </c>
      <c r="D14" s="183"/>
      <c r="E14" s="231"/>
      <c r="F14" s="183"/>
      <c r="G14" s="231"/>
      <c r="H14" s="183"/>
      <c r="I14" s="231"/>
      <c r="J14" s="183"/>
      <c r="K14" s="231"/>
      <c r="L14" s="183"/>
      <c r="M14" s="231"/>
      <c r="N14" s="428"/>
      <c r="O14" s="342"/>
      <c r="P14" s="428"/>
      <c r="Q14" s="428"/>
      <c r="R14"/>
      <c r="S14"/>
      <c r="T14"/>
      <c r="AE14" s="54"/>
      <c r="AF14" s="54"/>
      <c r="AG14" s="54"/>
      <c r="AH14" s="54"/>
      <c r="AI14" s="54"/>
      <c r="AJ14" s="54"/>
      <c r="AK14" s="54"/>
      <c r="AL14" s="54"/>
      <c r="AM14" s="54"/>
      <c r="AN14" s="54"/>
      <c r="AO14" s="54"/>
    </row>
    <row r="15" spans="3:41" ht="12" customHeight="1">
      <c r="C15" s="1" t="s">
        <v>66</v>
      </c>
      <c r="E15" s="33">
        <v>1322</v>
      </c>
      <c r="G15" s="33">
        <v>1603</v>
      </c>
      <c r="I15" s="33">
        <v>1695</v>
      </c>
      <c r="K15" s="33">
        <v>1873</v>
      </c>
      <c r="M15" s="33">
        <v>1956</v>
      </c>
      <c r="N15" s="428"/>
      <c r="O15" s="34"/>
      <c r="P15" s="428"/>
      <c r="Q15" s="34"/>
      <c r="R15"/>
      <c r="S15"/>
      <c r="T15"/>
      <c r="Z15" s="43">
        <f>+I15/$I$23</f>
        <v>0.05274294426984473</v>
      </c>
      <c r="AA15" s="43">
        <f>+K15/$K$23</f>
        <v>0.060599197618739484</v>
      </c>
      <c r="AE15" s="54"/>
      <c r="AF15" s="54"/>
      <c r="AG15" s="54"/>
      <c r="AH15" s="54"/>
      <c r="AI15" s="54"/>
      <c r="AJ15" s="54"/>
      <c r="AK15" s="54"/>
      <c r="AL15" s="54"/>
      <c r="AM15" s="54"/>
      <c r="AN15" s="54"/>
      <c r="AO15" s="54"/>
    </row>
    <row r="16" spans="3:41" ht="12" customHeight="1">
      <c r="C16" s="1" t="s">
        <v>67</v>
      </c>
      <c r="E16" s="65">
        <v>2207</v>
      </c>
      <c r="G16" s="65">
        <v>1732</v>
      </c>
      <c r="I16" s="65">
        <v>1637</v>
      </c>
      <c r="K16" s="65">
        <v>1633</v>
      </c>
      <c r="M16" s="42">
        <v>1506</v>
      </c>
      <c r="N16" s="428"/>
      <c r="O16" s="87"/>
      <c r="P16" s="428"/>
      <c r="Q16" s="40"/>
      <c r="R16"/>
      <c r="S16"/>
      <c r="T16"/>
      <c r="Z16" s="43">
        <f aca="true" t="shared" si="0" ref="Z16:Z23">+I16/$I$23</f>
        <v>0.05093817095559635</v>
      </c>
      <c r="AA16" s="43">
        <f aca="true" t="shared" si="1" ref="AA16:AA23">+K16/$K$23</f>
        <v>0.052834217678271</v>
      </c>
      <c r="AE16" s="54"/>
      <c r="AF16" s="54"/>
      <c r="AG16" s="54"/>
      <c r="AH16" s="54"/>
      <c r="AI16" s="54"/>
      <c r="AJ16" s="54"/>
      <c r="AK16" s="54"/>
      <c r="AL16" s="54"/>
      <c r="AM16" s="54"/>
      <c r="AN16" s="54"/>
      <c r="AO16" s="54"/>
    </row>
    <row r="17" spans="3:41" ht="12" customHeight="1">
      <c r="C17" s="1" t="s">
        <v>68</v>
      </c>
      <c r="E17" s="65">
        <v>7394</v>
      </c>
      <c r="G17" s="65">
        <v>7445</v>
      </c>
      <c r="I17" s="65">
        <v>7365</v>
      </c>
      <c r="K17" s="65">
        <v>7530</v>
      </c>
      <c r="M17" s="42">
        <v>7646</v>
      </c>
      <c r="N17" s="428"/>
      <c r="O17" s="87"/>
      <c r="P17" s="428"/>
      <c r="Q17" s="40"/>
      <c r="R17"/>
      <c r="S17"/>
      <c r="T17"/>
      <c r="Z17" s="43">
        <f t="shared" si="0"/>
        <v>0.22917509412826337</v>
      </c>
      <c r="AA17" s="43">
        <f t="shared" si="1"/>
        <v>0.24362624563219878</v>
      </c>
      <c r="AE17" s="54"/>
      <c r="AF17" s="54"/>
      <c r="AG17" s="54"/>
      <c r="AH17" s="54"/>
      <c r="AI17" s="54"/>
      <c r="AJ17" s="54"/>
      <c r="AK17" s="54"/>
      <c r="AL17" s="54"/>
      <c r="AM17" s="54"/>
      <c r="AN17" s="54"/>
      <c r="AO17" s="54"/>
    </row>
    <row r="18" spans="3:41" ht="12" customHeight="1">
      <c r="C18" s="1" t="s">
        <v>69</v>
      </c>
      <c r="E18" s="65">
        <v>11346</v>
      </c>
      <c r="G18" s="65">
        <v>10514</v>
      </c>
      <c r="I18" s="65">
        <v>9833</v>
      </c>
      <c r="K18" s="65">
        <v>9082</v>
      </c>
      <c r="M18" s="42">
        <v>8363</v>
      </c>
      <c r="N18" s="428"/>
      <c r="O18" s="87"/>
      <c r="P18" s="428"/>
      <c r="Q18" s="40"/>
      <c r="R18"/>
      <c r="S18"/>
      <c r="T18"/>
      <c r="Z18" s="43">
        <f t="shared" si="0"/>
        <v>0.30597131032765973</v>
      </c>
      <c r="AA18" s="43">
        <f t="shared" si="1"/>
        <v>0.29383978258056165</v>
      </c>
      <c r="AE18" s="54"/>
      <c r="AF18" s="54"/>
      <c r="AG18" s="54"/>
      <c r="AH18" s="54"/>
      <c r="AI18" s="54"/>
      <c r="AJ18" s="54"/>
      <c r="AK18" s="54"/>
      <c r="AL18" s="54"/>
      <c r="AM18" s="54"/>
      <c r="AN18" s="54"/>
      <c r="AO18" s="54"/>
    </row>
    <row r="19" spans="3:41" ht="12" customHeight="1">
      <c r="C19" s="1" t="s">
        <v>70</v>
      </c>
      <c r="E19" s="65">
        <v>2020</v>
      </c>
      <c r="G19" s="65">
        <v>2149</v>
      </c>
      <c r="I19" s="65">
        <v>2100</v>
      </c>
      <c r="K19" s="65">
        <v>2349</v>
      </c>
      <c r="M19" s="42">
        <v>1981</v>
      </c>
      <c r="N19" s="428"/>
      <c r="O19" s="87"/>
      <c r="P19" s="428"/>
      <c r="Q19" s="40"/>
      <c r="R19"/>
      <c r="S19"/>
      <c r="T19"/>
      <c r="Z19" s="43">
        <f t="shared" si="0"/>
        <v>0.0653452406883032</v>
      </c>
      <c r="AA19" s="43">
        <f t="shared" si="1"/>
        <v>0.07599974116733532</v>
      </c>
      <c r="AE19" s="54"/>
      <c r="AF19" s="54"/>
      <c r="AG19" s="54"/>
      <c r="AH19" s="54"/>
      <c r="AI19" s="54"/>
      <c r="AJ19" s="54"/>
      <c r="AK19" s="54"/>
      <c r="AL19" s="54"/>
      <c r="AM19" s="54"/>
      <c r="AN19" s="54"/>
      <c r="AO19" s="54"/>
    </row>
    <row r="20" spans="3:41" ht="12" customHeight="1">
      <c r="C20" s="1" t="s">
        <v>71</v>
      </c>
      <c r="E20" s="65">
        <v>809</v>
      </c>
      <c r="G20" s="65">
        <v>608</v>
      </c>
      <c r="I20" s="65">
        <v>604</v>
      </c>
      <c r="K20" s="65">
        <v>557</v>
      </c>
      <c r="M20" s="42">
        <v>504</v>
      </c>
      <c r="N20" s="428"/>
      <c r="O20" s="87"/>
      <c r="P20" s="428"/>
      <c r="Q20" s="40"/>
      <c r="R20"/>
      <c r="S20"/>
      <c r="T20"/>
      <c r="Z20" s="43">
        <f t="shared" si="0"/>
        <v>0.018794535893207207</v>
      </c>
      <c r="AA20" s="43">
        <f t="shared" si="1"/>
        <v>0.018021224278503948</v>
      </c>
      <c r="AE20" s="54"/>
      <c r="AF20" s="54"/>
      <c r="AG20" s="54"/>
      <c r="AH20" s="54"/>
      <c r="AI20" s="54"/>
      <c r="AJ20" s="54"/>
      <c r="AK20" s="54"/>
      <c r="AL20" s="54"/>
      <c r="AM20" s="54"/>
      <c r="AN20" s="54"/>
      <c r="AO20" s="54"/>
    </row>
    <row r="21" spans="3:41" ht="12" customHeight="1">
      <c r="C21" s="1" t="s">
        <v>72</v>
      </c>
      <c r="E21" s="65">
        <v>6457</v>
      </c>
      <c r="G21" s="65">
        <v>6069</v>
      </c>
      <c r="I21" s="65">
        <v>5778</v>
      </c>
      <c r="K21" s="65">
        <v>5432</v>
      </c>
      <c r="M21" s="42">
        <v>5384</v>
      </c>
      <c r="N21" s="428"/>
      <c r="O21" s="87"/>
      <c r="P21" s="428"/>
      <c r="Q21" s="40"/>
      <c r="R21"/>
      <c r="S21"/>
      <c r="T21"/>
      <c r="Z21" s="43">
        <f t="shared" si="0"/>
        <v>0.17979276223667423</v>
      </c>
      <c r="AA21" s="43">
        <f t="shared" si="1"/>
        <v>0.1757473793192701</v>
      </c>
      <c r="AE21" s="54"/>
      <c r="AF21" s="54"/>
      <c r="AG21" s="54"/>
      <c r="AH21" s="54"/>
      <c r="AI21" s="54"/>
      <c r="AJ21" s="54"/>
      <c r="AK21" s="54"/>
      <c r="AL21" s="54"/>
      <c r="AM21" s="54"/>
      <c r="AN21" s="54"/>
      <c r="AO21" s="54"/>
    </row>
    <row r="22" spans="3:41" ht="12" customHeight="1">
      <c r="C22" s="1" t="s">
        <v>92</v>
      </c>
      <c r="E22" s="65">
        <f>E11</f>
        <v>2456</v>
      </c>
      <c r="G22" s="65">
        <v>3009</v>
      </c>
      <c r="I22" s="65">
        <v>3125</v>
      </c>
      <c r="K22" s="65">
        <v>2452</v>
      </c>
      <c r="M22" s="65">
        <v>2299</v>
      </c>
      <c r="N22" s="428"/>
      <c r="O22" s="87"/>
      <c r="P22" s="428"/>
      <c r="Q22" s="40"/>
      <c r="R22"/>
      <c r="S22"/>
      <c r="T22"/>
      <c r="Z22" s="43">
        <f t="shared" si="0"/>
        <v>0.09723994150045119</v>
      </c>
      <c r="AA22" s="43">
        <f t="shared" si="1"/>
        <v>0.07933221172511971</v>
      </c>
      <c r="AE22" s="54"/>
      <c r="AF22" s="54"/>
      <c r="AG22" s="54"/>
      <c r="AH22" s="54"/>
      <c r="AI22" s="54"/>
      <c r="AJ22" s="54"/>
      <c r="AK22" s="54"/>
      <c r="AL22" s="54"/>
      <c r="AM22" s="54"/>
      <c r="AN22" s="54"/>
      <c r="AO22" s="54"/>
    </row>
    <row r="23" spans="3:41" ht="12.75" customHeight="1" thickBot="1">
      <c r="C23" s="176" t="s">
        <v>65</v>
      </c>
      <c r="D23" s="176"/>
      <c r="E23" s="198">
        <f>+SUM(E15:E22)</f>
        <v>34011</v>
      </c>
      <c r="F23" s="176"/>
      <c r="G23" s="198">
        <f>+SUM(G15:G22)</f>
        <v>33129</v>
      </c>
      <c r="H23" s="176"/>
      <c r="I23" s="198">
        <f>+SUM(I15:I22)</f>
        <v>32137</v>
      </c>
      <c r="J23" s="176"/>
      <c r="K23" s="198">
        <f>+SUM(K15:K22)</f>
        <v>30908</v>
      </c>
      <c r="L23" s="176"/>
      <c r="M23" s="198">
        <f>+SUM(M15:M22)</f>
        <v>29639</v>
      </c>
      <c r="N23" s="428"/>
      <c r="O23" s="219"/>
      <c r="P23" s="428"/>
      <c r="Q23" s="219"/>
      <c r="R23"/>
      <c r="S23"/>
      <c r="T23"/>
      <c r="Z23" s="43">
        <f t="shared" si="0"/>
        <v>1</v>
      </c>
      <c r="AA23" s="43">
        <f t="shared" si="1"/>
        <v>1</v>
      </c>
      <c r="AE23" s="54"/>
      <c r="AF23" s="54"/>
      <c r="AG23" s="54"/>
      <c r="AH23" s="54"/>
      <c r="AI23" s="54"/>
      <c r="AJ23" s="54"/>
      <c r="AK23" s="54"/>
      <c r="AL23" s="54"/>
      <c r="AM23" s="54"/>
      <c r="AN23" s="54"/>
      <c r="AO23" s="54"/>
    </row>
    <row r="24" spans="5:23" ht="3.75" customHeight="1" thickTop="1">
      <c r="E24" s="65"/>
      <c r="G24" s="65"/>
      <c r="I24" s="65"/>
      <c r="K24" s="65"/>
      <c r="M24" s="65"/>
      <c r="N24" s="428"/>
      <c r="O24" s="77"/>
      <c r="P24" s="428"/>
      <c r="Q24" s="77"/>
      <c r="R24"/>
      <c r="S24"/>
      <c r="T24"/>
      <c r="U24" s="44"/>
      <c r="V24" s="44"/>
      <c r="W24" s="44"/>
    </row>
    <row r="25" spans="3:20" ht="12" customHeight="1">
      <c r="C25" s="183" t="s">
        <v>12</v>
      </c>
      <c r="D25" s="183"/>
      <c r="E25" s="409"/>
      <c r="F25" s="183"/>
      <c r="G25" s="409"/>
      <c r="H25" s="183"/>
      <c r="I25" s="409"/>
      <c r="J25" s="183"/>
      <c r="K25" s="409"/>
      <c r="L25" s="183"/>
      <c r="M25" s="409"/>
      <c r="N25" s="428"/>
      <c r="O25" s="342"/>
      <c r="P25" s="428"/>
      <c r="Q25" s="428"/>
      <c r="R25"/>
      <c r="S25"/>
      <c r="T25"/>
    </row>
    <row r="26" spans="3:27" ht="12" customHeight="1">
      <c r="C26" s="1" t="s">
        <v>149</v>
      </c>
      <c r="E26" s="33">
        <v>22471</v>
      </c>
      <c r="G26" s="33">
        <v>21936</v>
      </c>
      <c r="I26" s="33">
        <v>21363</v>
      </c>
      <c r="K26" s="33">
        <v>19938</v>
      </c>
      <c r="M26" s="33">
        <v>18985</v>
      </c>
      <c r="N26" s="428"/>
      <c r="O26" s="34"/>
      <c r="P26" s="428"/>
      <c r="Q26" s="255"/>
      <c r="R26"/>
      <c r="S26"/>
      <c r="T26"/>
      <c r="Z26" s="43">
        <f>+I26/$I$33</f>
        <v>0.6647477984877245</v>
      </c>
      <c r="AA26" s="43">
        <f>+K26/$K$33</f>
        <v>0.6450757085544195</v>
      </c>
    </row>
    <row r="27" spans="3:27" ht="12" customHeight="1">
      <c r="C27" s="1" t="s">
        <v>150</v>
      </c>
      <c r="E27" s="65">
        <v>2725</v>
      </c>
      <c r="G27" s="65">
        <v>2630</v>
      </c>
      <c r="I27" s="65">
        <v>2358</v>
      </c>
      <c r="K27" s="65">
        <v>2556</v>
      </c>
      <c r="M27" s="65">
        <v>2108</v>
      </c>
      <c r="N27" s="428"/>
      <c r="O27" s="87"/>
      <c r="P27" s="428"/>
      <c r="Q27" s="349"/>
      <c r="R27"/>
      <c r="S27"/>
      <c r="T27"/>
      <c r="Z27" s="43">
        <f aca="true" t="shared" si="2" ref="Z27:Z33">+I27/$I$33</f>
        <v>0.07337337025858046</v>
      </c>
      <c r="AA27" s="43">
        <f aca="true" t="shared" si="3" ref="AA27:AA33">+K27/$K$33</f>
        <v>0.0826970363659894</v>
      </c>
    </row>
    <row r="28" spans="3:27" ht="12" customHeight="1">
      <c r="C28" s="1" t="s">
        <v>151</v>
      </c>
      <c r="E28" s="65">
        <v>3909</v>
      </c>
      <c r="G28" s="65">
        <v>4115</v>
      </c>
      <c r="I28" s="65">
        <v>4157</v>
      </c>
      <c r="K28" s="65">
        <v>4317</v>
      </c>
      <c r="M28" s="65">
        <v>4350</v>
      </c>
      <c r="N28" s="428"/>
      <c r="O28" s="87"/>
      <c r="P28" s="428"/>
      <c r="Q28" s="349"/>
      <c r="R28"/>
      <c r="S28"/>
      <c r="T28"/>
      <c r="Z28" s="43">
        <f t="shared" si="2"/>
        <v>0.1293524597815602</v>
      </c>
      <c r="AA28" s="43">
        <f t="shared" si="3"/>
        <v>0.1396725766791769</v>
      </c>
    </row>
    <row r="29" spans="3:27" ht="12" customHeight="1">
      <c r="C29" s="1" t="s">
        <v>152</v>
      </c>
      <c r="E29" s="65">
        <v>2498</v>
      </c>
      <c r="G29" s="65">
        <v>2251</v>
      </c>
      <c r="I29" s="65">
        <v>2117</v>
      </c>
      <c r="K29" s="65">
        <v>2076</v>
      </c>
      <c r="M29" s="65">
        <v>2083</v>
      </c>
      <c r="N29" s="428"/>
      <c r="O29" s="87"/>
      <c r="P29" s="428"/>
      <c r="Q29" s="349"/>
      <c r="R29"/>
      <c r="S29"/>
      <c r="T29"/>
      <c r="Z29" s="43">
        <f t="shared" si="2"/>
        <v>0.06587422597006566</v>
      </c>
      <c r="AA29" s="43">
        <f t="shared" si="3"/>
        <v>0.06716707648505241</v>
      </c>
    </row>
    <row r="30" spans="3:27" ht="12" customHeight="1">
      <c r="C30" s="1" t="s">
        <v>90</v>
      </c>
      <c r="E30" s="65">
        <v>943</v>
      </c>
      <c r="G30" s="65">
        <v>922</v>
      </c>
      <c r="I30" s="65">
        <v>912</v>
      </c>
      <c r="K30" s="65">
        <v>906</v>
      </c>
      <c r="M30" s="65">
        <v>945</v>
      </c>
      <c r="N30" s="428"/>
      <c r="O30" s="87"/>
      <c r="P30" s="428"/>
      <c r="Q30" s="349"/>
      <c r="R30"/>
      <c r="S30"/>
      <c r="T30"/>
      <c r="Z30" s="43">
        <f t="shared" si="2"/>
        <v>0.028378504527491678</v>
      </c>
      <c r="AA30" s="43">
        <f t="shared" si="3"/>
        <v>0.029312799275268538</v>
      </c>
    </row>
    <row r="31" spans="3:27" ht="12" customHeight="1">
      <c r="C31" s="1" t="s">
        <v>153</v>
      </c>
      <c r="E31" s="65">
        <v>1365</v>
      </c>
      <c r="G31" s="65">
        <v>1208</v>
      </c>
      <c r="I31" s="65">
        <v>1159</v>
      </c>
      <c r="K31" s="65">
        <v>1064</v>
      </c>
      <c r="M31" s="65">
        <v>1106</v>
      </c>
      <c r="N31" s="428"/>
      <c r="O31" s="87"/>
      <c r="P31" s="428"/>
      <c r="Q31" s="349"/>
      <c r="R31"/>
      <c r="S31"/>
      <c r="T31"/>
      <c r="Z31" s="43">
        <f t="shared" si="2"/>
        <v>0.03606434950368734</v>
      </c>
      <c r="AA31" s="43">
        <f t="shared" si="3"/>
        <v>0.03442474440274362</v>
      </c>
    </row>
    <row r="32" spans="3:27" ht="12" customHeight="1">
      <c r="C32" s="1" t="s">
        <v>148</v>
      </c>
      <c r="E32" s="65">
        <v>100</v>
      </c>
      <c r="G32" s="65">
        <v>67</v>
      </c>
      <c r="I32" s="65">
        <v>71</v>
      </c>
      <c r="K32" s="65">
        <v>51</v>
      </c>
      <c r="M32" s="65">
        <v>62</v>
      </c>
      <c r="N32" s="428"/>
      <c r="O32" s="87"/>
      <c r="P32" s="428"/>
      <c r="Q32" s="349"/>
      <c r="R32"/>
      <c r="S32"/>
      <c r="T32"/>
      <c r="Z32" s="43">
        <f t="shared" si="2"/>
        <v>0.002209291470890251</v>
      </c>
      <c r="AA32" s="43">
        <f t="shared" si="3"/>
        <v>0.0016500582373495535</v>
      </c>
    </row>
    <row r="33" spans="3:27" ht="12.75" customHeight="1" thickBot="1">
      <c r="C33" s="176" t="s">
        <v>185</v>
      </c>
      <c r="D33" s="176"/>
      <c r="E33" s="217">
        <f>+SUM(E26:E32)</f>
        <v>34011</v>
      </c>
      <c r="F33" s="176"/>
      <c r="G33" s="217">
        <f>+SUM(G26:G32)</f>
        <v>33129</v>
      </c>
      <c r="H33" s="176"/>
      <c r="I33" s="217">
        <f>+SUM(I26:I32)</f>
        <v>32137</v>
      </c>
      <c r="J33" s="176"/>
      <c r="K33" s="217">
        <f>+SUM(K26:K32)</f>
        <v>30908</v>
      </c>
      <c r="L33" s="176"/>
      <c r="M33" s="217">
        <f>+SUM(M26:M32)</f>
        <v>29639</v>
      </c>
      <c r="N33" s="428"/>
      <c r="O33" s="218"/>
      <c r="P33" s="428"/>
      <c r="Q33" s="218"/>
      <c r="R33"/>
      <c r="S33"/>
      <c r="T33"/>
      <c r="Z33" s="43">
        <f t="shared" si="2"/>
        <v>1</v>
      </c>
      <c r="AA33" s="43">
        <f t="shared" si="3"/>
        <v>1</v>
      </c>
    </row>
    <row r="34" spans="5:20" ht="5.25" customHeight="1" thickTop="1">
      <c r="E34" s="44"/>
      <c r="G34" s="44"/>
      <c r="I34" s="44"/>
      <c r="K34" s="44"/>
      <c r="M34" s="44"/>
      <c r="N34" s="428"/>
      <c r="O34" s="77"/>
      <c r="P34" s="428"/>
      <c r="Q34" s="77"/>
      <c r="R34"/>
      <c r="S34"/>
      <c r="T34"/>
    </row>
    <row r="35" spans="3:20" ht="12" customHeight="1">
      <c r="C35" s="199" t="s">
        <v>261</v>
      </c>
      <c r="D35" s="199"/>
      <c r="E35" s="373"/>
      <c r="F35" s="199"/>
      <c r="G35" s="373"/>
      <c r="H35" s="199"/>
      <c r="I35" s="373"/>
      <c r="J35" s="199"/>
      <c r="K35" s="373"/>
      <c r="L35" s="199"/>
      <c r="M35" s="373"/>
      <c r="N35" s="428"/>
      <c r="O35" s="522"/>
      <c r="P35" s="428"/>
      <c r="Q35" s="428"/>
      <c r="R35"/>
      <c r="S35"/>
      <c r="T35"/>
    </row>
    <row r="36" spans="3:23" ht="12" customHeight="1">
      <c r="C36" s="1" t="s">
        <v>309</v>
      </c>
      <c r="E36" s="33">
        <v>28389</v>
      </c>
      <c r="G36" s="33">
        <v>26924</v>
      </c>
      <c r="I36" s="33">
        <v>26376</v>
      </c>
      <c r="K36" s="33">
        <v>25591</v>
      </c>
      <c r="L36" s="44"/>
      <c r="M36" s="33">
        <v>24273</v>
      </c>
      <c r="N36" s="428"/>
      <c r="O36" s="34"/>
      <c r="P36" s="428"/>
      <c r="Q36" s="34"/>
      <c r="R36"/>
      <c r="S36"/>
      <c r="T36"/>
      <c r="U36"/>
      <c r="V36"/>
      <c r="W36"/>
    </row>
    <row r="37" spans="3:23" ht="12" customHeight="1">
      <c r="C37" s="1" t="s">
        <v>310</v>
      </c>
      <c r="E37" s="65">
        <f>'Consol Bal Sheet'!E10</f>
        <v>3047</v>
      </c>
      <c r="G37" s="65">
        <f>'Consol Bal Sheet'!G10</f>
        <v>3081</v>
      </c>
      <c r="I37" s="65">
        <f>'Consol Bal Sheet'!I10</f>
        <v>3141</v>
      </c>
      <c r="K37" s="65">
        <v>3107</v>
      </c>
      <c r="L37" s="44"/>
      <c r="M37" s="65">
        <v>3076</v>
      </c>
      <c r="N37" s="428"/>
      <c r="O37" s="40"/>
      <c r="P37" s="428"/>
      <c r="Q37" s="55"/>
      <c r="R37"/>
      <c r="S37"/>
      <c r="T37"/>
      <c r="U37"/>
      <c r="V37"/>
      <c r="W37"/>
    </row>
    <row r="38" spans="3:23" ht="12" customHeight="1">
      <c r="C38" s="44" t="s">
        <v>211</v>
      </c>
      <c r="D38" s="44"/>
      <c r="E38" s="234">
        <v>2456</v>
      </c>
      <c r="F38" s="44"/>
      <c r="G38" s="234">
        <v>3008</v>
      </c>
      <c r="H38" s="44"/>
      <c r="I38" s="234">
        <f>'Consol Bal Sheet'!I12</f>
        <v>3125</v>
      </c>
      <c r="J38" s="44"/>
      <c r="K38" s="234">
        <v>2452</v>
      </c>
      <c r="L38" s="44"/>
      <c r="M38" s="234">
        <f>+M11</f>
        <v>2299</v>
      </c>
      <c r="N38" s="428"/>
      <c r="O38" s="87"/>
      <c r="P38" s="428"/>
      <c r="Q38" s="40"/>
      <c r="R38"/>
      <c r="S38"/>
      <c r="T38"/>
      <c r="U38"/>
      <c r="V38"/>
      <c r="W38"/>
    </row>
    <row r="39" spans="3:20" ht="12" customHeight="1">
      <c r="C39" s="176" t="s">
        <v>242</v>
      </c>
      <c r="D39" s="176"/>
      <c r="E39" s="229">
        <f>+SUM(E36:E38)</f>
        <v>33892</v>
      </c>
      <c r="F39" s="176"/>
      <c r="G39" s="229">
        <f>+SUM(G36:G38)</f>
        <v>33013</v>
      </c>
      <c r="H39" s="176"/>
      <c r="I39" s="229">
        <f>+SUM(I36:I38)</f>
        <v>32642</v>
      </c>
      <c r="J39" s="176"/>
      <c r="K39" s="229">
        <f>+SUM(K36:K38)</f>
        <v>31150</v>
      </c>
      <c r="L39" s="176"/>
      <c r="M39" s="229">
        <f>+SUM(M36:M38)</f>
        <v>29648</v>
      </c>
      <c r="N39" s="428"/>
      <c r="O39" s="371"/>
      <c r="P39" s="428"/>
      <c r="Q39" s="371"/>
      <c r="R39"/>
      <c r="S39"/>
      <c r="T39"/>
    </row>
    <row r="40" spans="3:20" ht="12" customHeight="1">
      <c r="C40" s="44" t="s">
        <v>86</v>
      </c>
      <c r="D40" s="44"/>
      <c r="E40" s="65">
        <v>1372</v>
      </c>
      <c r="F40" s="44"/>
      <c r="G40" s="65">
        <v>1297</v>
      </c>
      <c r="H40" s="44"/>
      <c r="I40" s="65">
        <v>1215</v>
      </c>
      <c r="J40" s="44"/>
      <c r="K40" s="65">
        <v>1325</v>
      </c>
      <c r="L40" s="44"/>
      <c r="M40" s="42">
        <v>1280</v>
      </c>
      <c r="N40" s="428"/>
      <c r="O40" s="87"/>
      <c r="P40" s="428"/>
      <c r="Q40" s="40"/>
      <c r="R40"/>
      <c r="S40"/>
      <c r="T40"/>
    </row>
    <row r="41" spans="3:20" ht="12" customHeight="1">
      <c r="C41" s="44" t="s">
        <v>210</v>
      </c>
      <c r="D41" s="44"/>
      <c r="E41" s="234">
        <v>661</v>
      </c>
      <c r="F41" s="44"/>
      <c r="G41" s="234">
        <v>653</v>
      </c>
      <c r="H41" s="44"/>
      <c r="I41" s="234">
        <v>564</v>
      </c>
      <c r="J41" s="44"/>
      <c r="K41" s="234">
        <v>590</v>
      </c>
      <c r="L41" s="44"/>
      <c r="M41" s="42">
        <v>592</v>
      </c>
      <c r="N41" s="428"/>
      <c r="O41" s="87"/>
      <c r="P41" s="428"/>
      <c r="Q41" s="40"/>
      <c r="R41"/>
      <c r="S41"/>
      <c r="T41"/>
    </row>
    <row r="42" spans="3:20" ht="12.75" customHeight="1" thickBot="1">
      <c r="C42" s="176" t="s">
        <v>65</v>
      </c>
      <c r="D42" s="176"/>
      <c r="E42" s="198">
        <f>+SUM(E39:E41)</f>
        <v>35925</v>
      </c>
      <c r="F42" s="176"/>
      <c r="G42" s="198">
        <f>+SUM(G39:G41)</f>
        <v>34963</v>
      </c>
      <c r="H42" s="176"/>
      <c r="I42" s="198">
        <f>+SUM(I39:I41)</f>
        <v>34421</v>
      </c>
      <c r="J42" s="176"/>
      <c r="K42" s="198">
        <f>+SUM(K39:K41)</f>
        <v>33065</v>
      </c>
      <c r="L42" s="176"/>
      <c r="M42" s="198">
        <f>+SUM(M39:M41)</f>
        <v>31520</v>
      </c>
      <c r="N42" s="428"/>
      <c r="O42" s="219"/>
      <c r="P42" s="428"/>
      <c r="Q42" s="219"/>
      <c r="R42"/>
      <c r="S42"/>
      <c r="T42"/>
    </row>
    <row r="43" spans="5:20" ht="6" customHeight="1" thickTop="1">
      <c r="E43" s="44"/>
      <c r="G43" s="44"/>
      <c r="I43" s="44"/>
      <c r="K43" s="44"/>
      <c r="M43" s="44"/>
      <c r="N43" s="428"/>
      <c r="O43" s="77"/>
      <c r="P43" s="428"/>
      <c r="Q43" s="77"/>
      <c r="R43"/>
      <c r="S43"/>
      <c r="T43"/>
    </row>
    <row r="44" spans="3:20" ht="10.5" customHeight="1">
      <c r="C44" s="185" t="s">
        <v>312</v>
      </c>
      <c r="D44" s="185"/>
      <c r="E44" s="274" t="s">
        <v>525</v>
      </c>
      <c r="F44" s="185"/>
      <c r="G44" s="274" t="s">
        <v>425</v>
      </c>
      <c r="H44" s="185"/>
      <c r="I44" s="274" t="s">
        <v>405</v>
      </c>
      <c r="J44" s="185"/>
      <c r="K44" s="274" t="s">
        <v>378</v>
      </c>
      <c r="L44" s="185"/>
      <c r="M44" s="274" t="s">
        <v>345</v>
      </c>
      <c r="N44" s="428"/>
      <c r="O44" s="274"/>
      <c r="P44" s="428"/>
      <c r="Q44" s="274"/>
      <c r="R44"/>
      <c r="S44"/>
      <c r="T44"/>
    </row>
    <row r="45" spans="3:20" ht="10.5" customHeight="1">
      <c r="C45" s="185" t="s">
        <v>216</v>
      </c>
      <c r="D45" s="185"/>
      <c r="E45" s="410">
        <v>0.054</v>
      </c>
      <c r="F45" s="185"/>
      <c r="G45" s="410">
        <v>0.054</v>
      </c>
      <c r="H45" s="185"/>
      <c r="I45" s="410">
        <v>0.057</v>
      </c>
      <c r="J45" s="185"/>
      <c r="K45" s="410">
        <v>0.054</v>
      </c>
      <c r="L45" s="185"/>
      <c r="M45" s="410">
        <v>0.05</v>
      </c>
      <c r="N45" s="428"/>
      <c r="O45" s="410"/>
      <c r="P45" s="428"/>
      <c r="Q45" s="410"/>
      <c r="R45"/>
      <c r="S45"/>
      <c r="T45"/>
    </row>
    <row r="46" spans="3:19" ht="10.5" customHeight="1">
      <c r="C46" s="185" t="s">
        <v>217</v>
      </c>
      <c r="D46" s="185"/>
      <c r="E46" s="274" t="s">
        <v>78</v>
      </c>
      <c r="F46" s="185"/>
      <c r="G46" s="274" t="s">
        <v>78</v>
      </c>
      <c r="H46" s="185"/>
      <c r="I46" s="274" t="s">
        <v>78</v>
      </c>
      <c r="J46" s="185"/>
      <c r="K46" s="274" t="s">
        <v>78</v>
      </c>
      <c r="L46" s="185"/>
      <c r="M46" s="274" t="s">
        <v>78</v>
      </c>
      <c r="N46" s="428"/>
      <c r="O46" s="274"/>
      <c r="P46" s="428"/>
      <c r="Q46" s="274"/>
      <c r="R46" s="274"/>
      <c r="S46" s="185"/>
    </row>
    <row r="47" spans="14:16" ht="12.75">
      <c r="N47"/>
      <c r="O47"/>
      <c r="P47"/>
    </row>
    <row r="61" ht="11.25">
      <c r="E61" s="558" t="s">
        <v>426</v>
      </c>
    </row>
    <row r="64" spans="3:17" ht="12.75">
      <c r="C64" s="88" t="s">
        <v>317</v>
      </c>
      <c r="D64" s="88"/>
      <c r="E64" s="42">
        <f>+E66+E41-E68</f>
        <v>1395</v>
      </c>
      <c r="G64" s="42">
        <f>+G66+G41-G68</f>
        <v>1532</v>
      </c>
      <c r="I64" s="42">
        <f>+I66+I41-I68</f>
        <v>1420</v>
      </c>
      <c r="K64" s="42">
        <f>+K66+K41-K68</f>
        <v>1426</v>
      </c>
      <c r="M64" s="42">
        <f>+M66+M41-M68</f>
        <v>1417</v>
      </c>
      <c r="N64"/>
      <c r="O64"/>
      <c r="P64"/>
      <c r="Q64"/>
    </row>
    <row r="65" spans="3:17" ht="12.75">
      <c r="C65" s="88" t="s">
        <v>316</v>
      </c>
      <c r="D65" s="88"/>
      <c r="E65" s="557">
        <v>-5</v>
      </c>
      <c r="G65" s="557">
        <v>-6</v>
      </c>
      <c r="I65" s="557">
        <v>-7</v>
      </c>
      <c r="K65" s="557">
        <v>-9</v>
      </c>
      <c r="M65" s="557">
        <v>-10</v>
      </c>
      <c r="N65"/>
      <c r="O65"/>
      <c r="P65"/>
      <c r="Q65"/>
    </row>
    <row r="66" spans="3:17" ht="12.75">
      <c r="C66" s="88" t="s">
        <v>315</v>
      </c>
      <c r="D66" s="88"/>
      <c r="E66" s="557">
        <v>727</v>
      </c>
      <c r="G66" s="557">
        <v>873</v>
      </c>
      <c r="I66" s="557">
        <v>847</v>
      </c>
      <c r="K66" s="557">
        <v>829</v>
      </c>
      <c r="M66" s="557">
        <v>818</v>
      </c>
      <c r="N66"/>
      <c r="O66"/>
      <c r="P66"/>
      <c r="Q66"/>
    </row>
    <row r="67" spans="3:17" ht="12.75">
      <c r="C67" s="88" t="s">
        <v>314</v>
      </c>
      <c r="D67" s="88"/>
      <c r="E67" s="42">
        <f>+'Consol Bal Sheet'!E24</f>
        <v>789</v>
      </c>
      <c r="G67" s="42">
        <f>+'Consol Bal Sheet'!G24</f>
        <v>917</v>
      </c>
      <c r="I67" s="42">
        <f>+'Consol Bal Sheet'!I24</f>
        <v>894</v>
      </c>
      <c r="K67" s="42">
        <f>+'Consol Bal Sheet'!K24</f>
        <v>885</v>
      </c>
      <c r="M67" s="42">
        <v>876</v>
      </c>
      <c r="N67"/>
      <c r="O67"/>
      <c r="P67"/>
      <c r="Q67"/>
    </row>
    <row r="68" spans="3:17" ht="12.75">
      <c r="C68" s="533" t="s">
        <v>372</v>
      </c>
      <c r="D68" s="533"/>
      <c r="E68" s="557">
        <v>-7</v>
      </c>
      <c r="G68" s="557">
        <v>-6</v>
      </c>
      <c r="I68" s="557">
        <v>-9</v>
      </c>
      <c r="K68" s="557">
        <v>-7</v>
      </c>
      <c r="M68" s="557">
        <v>-7</v>
      </c>
      <c r="N68"/>
      <c r="O68"/>
      <c r="P68"/>
      <c r="Q68"/>
    </row>
    <row r="69" spans="3:19" ht="12.75">
      <c r="C69" s="88" t="s">
        <v>138</v>
      </c>
      <c r="D69" s="88"/>
      <c r="E69" s="42">
        <f>+'Consol Bal Sheet'!E14+'Consol Bal Sheet'!E24</f>
        <v>37390</v>
      </c>
      <c r="G69" s="42">
        <f>+'Consol Bal Sheet'!G14+'Consol Bal Sheet'!G24</f>
        <v>36446</v>
      </c>
      <c r="I69" s="42">
        <f>+'Consol Bal Sheet'!I14+'Consol Bal Sheet'!I24</f>
        <v>35257</v>
      </c>
      <c r="K69" s="9">
        <f>+'Consol Bal Sheet'!K14+'Consol Bal Sheet'!K24</f>
        <v>34142</v>
      </c>
      <c r="M69" s="9">
        <f>+'Consol Bal Sheet'!M14+'Consol Bal Sheet'!M24</f>
        <v>32718</v>
      </c>
      <c r="N69"/>
      <c r="O69"/>
      <c r="P69"/>
      <c r="Q69"/>
      <c r="R69" s="9"/>
      <c r="S69" s="7"/>
    </row>
    <row r="70" spans="3:19" ht="12.75">
      <c r="C70" s="88" t="s">
        <v>139</v>
      </c>
      <c r="D70" s="88"/>
      <c r="E70" s="9">
        <f>+E42+E66+E65-E68</f>
        <v>36654</v>
      </c>
      <c r="G70" s="9">
        <f>+G42+G66+G65-G68</f>
        <v>35836</v>
      </c>
      <c r="I70" s="9">
        <f>+I42+I66+I65-I68</f>
        <v>35270</v>
      </c>
      <c r="K70" s="9">
        <f>+K42+K66+K65-K68</f>
        <v>33892</v>
      </c>
      <c r="M70" s="9">
        <f>+M42+M66+M65-M68</f>
        <v>32335</v>
      </c>
      <c r="N70"/>
      <c r="O70"/>
      <c r="P70"/>
      <c r="Q70"/>
      <c r="R70" s="9"/>
      <c r="S70" s="7"/>
    </row>
    <row r="71" spans="5:19" ht="12.75">
      <c r="E71" s="494">
        <f>+E69-E70</f>
        <v>736</v>
      </c>
      <c r="G71" s="494">
        <f>+G69-G70</f>
        <v>610</v>
      </c>
      <c r="I71" s="494">
        <f>+I69-I70</f>
        <v>-13</v>
      </c>
      <c r="K71" s="270">
        <f>+K69-K70</f>
        <v>250</v>
      </c>
      <c r="M71" s="270">
        <f>+M69-M70</f>
        <v>383</v>
      </c>
      <c r="N71"/>
      <c r="O71"/>
      <c r="P71"/>
      <c r="Q71"/>
      <c r="R71" s="12"/>
      <c r="S71" s="7"/>
    </row>
    <row r="72" spans="5:19" ht="12.75">
      <c r="E72" s="42">
        <f>+E71-G71</f>
        <v>126</v>
      </c>
      <c r="G72" s="42">
        <f>+G71-I71</f>
        <v>623</v>
      </c>
      <c r="I72" s="42">
        <f>+I71-K71</f>
        <v>-263</v>
      </c>
      <c r="K72"/>
      <c r="M72" s="556">
        <f>+G71-M71</f>
        <v>227</v>
      </c>
      <c r="N72"/>
      <c r="O72"/>
      <c r="P72"/>
      <c r="Q72"/>
      <c r="S72" s="7"/>
    </row>
    <row r="73" spans="5:19" ht="12.75">
      <c r="E73" s="42">
        <f>+'Comprehensive Income'!H11+'Comprehensive Income'!H13</f>
        <v>126</v>
      </c>
      <c r="G73" s="42">
        <v>623</v>
      </c>
      <c r="I73" s="42">
        <v>-263</v>
      </c>
      <c r="K73"/>
      <c r="M73" s="9">
        <v>227</v>
      </c>
      <c r="O73" s="9"/>
      <c r="S73" s="7"/>
    </row>
    <row r="74" spans="5:19" ht="12.75">
      <c r="E74" s="42">
        <f>+E72-E73</f>
        <v>0</v>
      </c>
      <c r="G74" s="42">
        <f>+G72-G73</f>
        <v>0</v>
      </c>
      <c r="I74" s="42">
        <f>+I72-I73</f>
        <v>0</v>
      </c>
      <c r="K74"/>
      <c r="M74" s="42">
        <f>+M72-M73</f>
        <v>0</v>
      </c>
      <c r="S74" s="7"/>
    </row>
    <row r="75" spans="5:19" ht="11.25">
      <c r="E75" s="44"/>
      <c r="G75" s="44"/>
      <c r="I75" s="44"/>
      <c r="S75" s="7"/>
    </row>
    <row r="76" spans="5:19" ht="12.75">
      <c r="E76" s="44" t="s">
        <v>277</v>
      </c>
      <c r="G76" s="44"/>
      <c r="I76"/>
      <c r="J76"/>
      <c r="K76"/>
      <c r="L76" s="44"/>
      <c r="M76" s="44"/>
      <c r="N76" s="44"/>
      <c r="O76" s="44"/>
      <c r="S76" s="7"/>
    </row>
    <row r="77" spans="3:18" ht="12.75">
      <c r="C77" s="88" t="s">
        <v>275</v>
      </c>
      <c r="D77" s="88"/>
      <c r="E77" s="556">
        <f>-'Consol Bal Sheet'!G45+'Consol Bal Sheet'!E45</f>
        <v>148</v>
      </c>
      <c r="F77" s="88"/>
      <c r="G77" s="42"/>
      <c r="H77" s="88"/>
      <c r="I77"/>
      <c r="J77"/>
      <c r="K77"/>
      <c r="L77" s="44"/>
      <c r="M77" s="42"/>
      <c r="N77" s="42"/>
      <c r="O77" s="42"/>
      <c r="P77" s="9"/>
      <c r="Q77" s="9"/>
      <c r="R77" s="9"/>
    </row>
    <row r="78" spans="5:18" ht="12.75">
      <c r="E78" s="42">
        <f>+'Comprehensive Income'!H18</f>
        <v>148</v>
      </c>
      <c r="G78" s="42"/>
      <c r="I78"/>
      <c r="J78"/>
      <c r="K78"/>
      <c r="L78" s="42"/>
      <c r="M78" s="42"/>
      <c r="N78" s="44"/>
      <c r="O78" s="42"/>
      <c r="P78" s="9"/>
      <c r="Q78" s="9"/>
      <c r="R78" s="9"/>
    </row>
    <row r="79" spans="5:15" ht="12.75">
      <c r="E79" s="44" t="s">
        <v>276</v>
      </c>
      <c r="G79" s="44"/>
      <c r="I79"/>
      <c r="J79"/>
      <c r="K79"/>
      <c r="L79" s="44"/>
      <c r="M79" s="44"/>
      <c r="N79" s="44"/>
      <c r="O79" s="44"/>
    </row>
    <row r="80" spans="5:18" ht="12.75">
      <c r="E80" s="42">
        <f>+'Consol Bal Sheet'!E45-'Consol Bal Sheet'!M45</f>
        <v>384</v>
      </c>
      <c r="G80" s="42"/>
      <c r="I80"/>
      <c r="J80"/>
      <c r="K80"/>
      <c r="L80" s="44"/>
      <c r="M80" s="42"/>
      <c r="N80" s="42"/>
      <c r="O80" s="42"/>
      <c r="P80" s="9"/>
      <c r="R80" s="9"/>
    </row>
    <row r="81" spans="5:18" ht="12.75">
      <c r="E81" s="42">
        <f>+'Comprehensive Income'!N18</f>
        <v>384</v>
      </c>
      <c r="G81" s="42"/>
      <c r="I81"/>
      <c r="J81"/>
      <c r="K81"/>
      <c r="L81" s="44"/>
      <c r="M81" s="42"/>
      <c r="N81" s="42"/>
      <c r="O81" s="42"/>
      <c r="P81" s="9"/>
      <c r="R81" s="9"/>
    </row>
    <row r="82" spans="5:15" ht="12.75">
      <c r="E82" s="44"/>
      <c r="G82" s="44"/>
      <c r="I82"/>
      <c r="J82"/>
      <c r="K82"/>
      <c r="L82" s="44"/>
      <c r="M82" s="44"/>
      <c r="N82" s="44"/>
      <c r="O82" s="44"/>
    </row>
    <row r="83" spans="5:15" ht="12.75">
      <c r="E83" s="44" t="s">
        <v>277</v>
      </c>
      <c r="G83" s="44"/>
      <c r="I83"/>
      <c r="J83" s="44"/>
      <c r="K83" s="44"/>
      <c r="L83" s="44"/>
      <c r="M83"/>
      <c r="N83"/>
      <c r="O83"/>
    </row>
    <row r="84" spans="3:15" ht="12.75">
      <c r="C84" s="88" t="s">
        <v>374</v>
      </c>
      <c r="D84" s="88"/>
      <c r="E84" s="42">
        <f>+'Investment Gains (Losses) '!G19</f>
        <v>126</v>
      </c>
      <c r="I84"/>
      <c r="J84" s="44"/>
      <c r="K84" s="44"/>
      <c r="L84" s="44"/>
      <c r="M84"/>
      <c r="N84"/>
      <c r="O84"/>
    </row>
    <row r="85" spans="3:15" ht="12.75">
      <c r="C85" s="88" t="s">
        <v>373</v>
      </c>
      <c r="D85" s="88"/>
      <c r="E85" s="42">
        <f>+'Comprehensive Income'!H11+'Comprehensive Income'!H13</f>
        <v>126</v>
      </c>
      <c r="I85"/>
      <c r="J85" s="44"/>
      <c r="K85" s="44"/>
      <c r="L85" s="44"/>
      <c r="M85"/>
      <c r="N85"/>
      <c r="O85"/>
    </row>
    <row r="86" spans="5:15" ht="12.75">
      <c r="E86" s="44" t="s">
        <v>276</v>
      </c>
      <c r="G86" s="44"/>
      <c r="I86"/>
      <c r="J86" s="44"/>
      <c r="K86" s="44"/>
      <c r="L86" s="44"/>
      <c r="M86"/>
      <c r="N86"/>
      <c r="O86"/>
    </row>
    <row r="87" spans="5:15" ht="12.75">
      <c r="E87" s="42">
        <f>+'Investment Gains (Losses) '!N19</f>
        <v>353</v>
      </c>
      <c r="G87" s="44"/>
      <c r="I87" s="44"/>
      <c r="J87" s="44"/>
      <c r="K87" s="44"/>
      <c r="L87" s="44"/>
      <c r="M87"/>
      <c r="N87"/>
      <c r="O87"/>
    </row>
    <row r="88" spans="5:15" ht="12.75">
      <c r="E88" s="42">
        <f>+'Comprehensive Income'!N11+'Comprehensive Income'!N13</f>
        <v>353</v>
      </c>
      <c r="M88"/>
      <c r="N88"/>
      <c r="O88"/>
    </row>
  </sheetData>
  <sheetProtection objects="1"/>
  <mergeCells count="4">
    <mergeCell ref="A1:N1"/>
    <mergeCell ref="A2:N2"/>
    <mergeCell ref="A3:N3"/>
    <mergeCell ref="A4:N4"/>
  </mergeCells>
  <printOptions/>
  <pageMargins left="0.5" right="0.5" top="0.5" bottom="0.44" header="0.75" footer="0.25"/>
  <pageSetup horizontalDpi="600" verticalDpi="600" orientation="landscape" r:id="rId2"/>
  <headerFooter alignWithMargins="0">
    <oddFooter>&amp;L&amp;A&amp;R&amp;"Arial,Regular"&amp;8Page 20</oddFooter>
  </headerFooter>
  <drawing r:id="rId1"/>
</worksheet>
</file>

<file path=xl/worksheets/sheet23.xml><?xml version="1.0" encoding="utf-8"?>
<worksheet xmlns="http://schemas.openxmlformats.org/spreadsheetml/2006/main" xmlns:r="http://schemas.openxmlformats.org/officeDocument/2006/relationships">
  <sheetPr codeName="Sheet29"/>
  <dimension ref="A1:AO88"/>
  <sheetViews>
    <sheetView workbookViewId="0" topLeftCell="A1">
      <selection activeCell="A5" sqref="A5"/>
    </sheetView>
  </sheetViews>
  <sheetFormatPr defaultColWidth="9.33203125" defaultRowHeight="12.75"/>
  <cols>
    <col min="1" max="1" width="3.33203125" style="1" customWidth="1"/>
    <col min="2" max="2" width="2.83203125" style="1" customWidth="1"/>
    <col min="3" max="3" width="26.83203125" style="54" customWidth="1"/>
    <col min="4" max="4" width="6.83203125" style="54" customWidth="1"/>
    <col min="5" max="7" width="3.83203125" style="54" customWidth="1"/>
    <col min="8" max="8" width="26.83203125" style="54" customWidth="1"/>
    <col min="9" max="9" width="6.83203125" style="54" customWidth="1"/>
    <col min="10" max="10" width="3.83203125" style="54" customWidth="1"/>
    <col min="11" max="11" width="22.83203125" style="54" customWidth="1"/>
    <col min="12" max="12" width="6.83203125" style="54" customWidth="1"/>
    <col min="13" max="13" width="3.83203125" style="54" customWidth="1"/>
    <col min="14" max="14" width="2.83203125" style="1" customWidth="1"/>
    <col min="15" max="15" width="15.5" style="1" customWidth="1"/>
    <col min="16" max="16" width="2.83203125" style="1" customWidth="1"/>
    <col min="17" max="17" width="15.5" style="1" customWidth="1"/>
    <col min="18" max="19" width="2.83203125" style="1" customWidth="1"/>
    <col min="20" max="20" width="14.83203125" style="1" customWidth="1"/>
    <col min="21" max="23" width="9.5" style="1" customWidth="1"/>
    <col min="24" max="24" width="6.16015625" style="1" customWidth="1"/>
    <col min="25" max="25" width="9.66015625" style="1" customWidth="1"/>
    <col min="26" max="26" width="8.5" style="1" customWidth="1"/>
    <col min="27" max="27" width="9.33203125" style="1" customWidth="1"/>
    <col min="28" max="16384" width="8.16015625" style="1" customWidth="1"/>
  </cols>
  <sheetData>
    <row r="1" spans="1:28" ht="12.75">
      <c r="A1" s="632" t="s">
        <v>96</v>
      </c>
      <c r="B1" s="632"/>
      <c r="C1" s="632"/>
      <c r="D1" s="632"/>
      <c r="E1" s="632"/>
      <c r="F1" s="632"/>
      <c r="G1" s="632"/>
      <c r="H1" s="632"/>
      <c r="I1" s="632"/>
      <c r="J1" s="632"/>
      <c r="K1" s="632"/>
      <c r="L1" s="632"/>
      <c r="M1" s="632"/>
      <c r="N1" s="632"/>
      <c r="O1" s="358"/>
      <c r="P1" s="358"/>
      <c r="Q1" s="358"/>
      <c r="R1" s="358"/>
      <c r="S1" s="358"/>
      <c r="T1" s="358"/>
      <c r="U1" s="89"/>
      <c r="V1" s="89"/>
      <c r="W1" s="89"/>
      <c r="X1" s="89"/>
      <c r="Y1" s="89"/>
      <c r="Z1" s="89"/>
      <c r="AA1" s="89"/>
      <c r="AB1" s="89"/>
    </row>
    <row r="2" spans="1:28" ht="12.75" customHeight="1">
      <c r="A2" s="618" t="s">
        <v>203</v>
      </c>
      <c r="B2" s="618"/>
      <c r="C2" s="618"/>
      <c r="D2" s="618"/>
      <c r="E2" s="618"/>
      <c r="F2" s="618"/>
      <c r="G2" s="618"/>
      <c r="H2" s="618"/>
      <c r="I2" s="618"/>
      <c r="J2" s="618"/>
      <c r="K2" s="618"/>
      <c r="L2" s="618"/>
      <c r="M2" s="618"/>
      <c r="N2" s="618"/>
      <c r="O2" s="56"/>
      <c r="P2" s="56"/>
      <c r="Q2" s="56"/>
      <c r="R2" s="56"/>
      <c r="S2" s="56"/>
      <c r="T2" s="56"/>
      <c r="U2" s="89"/>
      <c r="V2" s="89"/>
      <c r="W2" s="89"/>
      <c r="X2" s="89"/>
      <c r="Y2" s="89"/>
      <c r="Z2" s="89"/>
      <c r="AA2" s="89"/>
      <c r="AB2" s="89"/>
    </row>
    <row r="3" spans="1:28" ht="12.75" customHeight="1">
      <c r="A3" s="633" t="s">
        <v>154</v>
      </c>
      <c r="B3" s="633"/>
      <c r="C3" s="633"/>
      <c r="D3" s="633"/>
      <c r="E3" s="633"/>
      <c r="F3" s="633"/>
      <c r="G3" s="633"/>
      <c r="H3" s="633"/>
      <c r="I3" s="633"/>
      <c r="J3" s="633"/>
      <c r="K3" s="633"/>
      <c r="L3" s="633"/>
      <c r="M3" s="633"/>
      <c r="N3" s="633"/>
      <c r="O3" s="361"/>
      <c r="P3" s="361"/>
      <c r="Q3" s="361"/>
      <c r="R3" s="361"/>
      <c r="S3" s="361"/>
      <c r="T3" s="361"/>
      <c r="U3" s="89"/>
      <c r="V3" s="89"/>
      <c r="W3" s="89"/>
      <c r="X3" s="89"/>
      <c r="Y3" s="89"/>
      <c r="Z3" s="89"/>
      <c r="AA3" s="89"/>
      <c r="AB3" s="89"/>
    </row>
    <row r="4" spans="1:28" ht="12.75" customHeight="1">
      <c r="A4" s="633" t="s">
        <v>170</v>
      </c>
      <c r="B4" s="633"/>
      <c r="C4" s="633"/>
      <c r="D4" s="633"/>
      <c r="E4" s="633"/>
      <c r="F4" s="633"/>
      <c r="G4" s="633"/>
      <c r="H4" s="633"/>
      <c r="I4" s="633"/>
      <c r="J4" s="633"/>
      <c r="K4" s="633"/>
      <c r="L4" s="633"/>
      <c r="M4" s="633"/>
      <c r="N4" s="633"/>
      <c r="O4" s="361"/>
      <c r="P4" s="361"/>
      <c r="Q4" s="361"/>
      <c r="R4" s="361"/>
      <c r="S4" s="361"/>
      <c r="T4" s="361"/>
      <c r="U4" s="89"/>
      <c r="V4" s="89"/>
      <c r="W4" s="89"/>
      <c r="X4" s="89"/>
      <c r="Y4" s="89"/>
      <c r="Z4" s="89"/>
      <c r="AA4" s="89"/>
      <c r="AB4" s="89"/>
    </row>
    <row r="5" spans="3:17" ht="14.25" customHeight="1">
      <c r="C5" s="202" t="s">
        <v>528</v>
      </c>
      <c r="N5" s="7"/>
      <c r="O5" s="7"/>
      <c r="P5" s="7"/>
      <c r="Q5" s="7"/>
    </row>
    <row r="6" spans="3:20" ht="12" customHeight="1">
      <c r="C6" s="578"/>
      <c r="N6" s="277"/>
      <c r="O6" s="277"/>
      <c r="P6" s="277"/>
      <c r="Q6" s="277"/>
      <c r="R6"/>
      <c r="S6"/>
      <c r="T6"/>
    </row>
    <row r="7" spans="14:20" ht="12" customHeight="1">
      <c r="N7" s="162"/>
      <c r="O7" s="521"/>
      <c r="P7" s="162"/>
      <c r="Q7" s="521"/>
      <c r="R7"/>
      <c r="S7"/>
      <c r="T7"/>
    </row>
    <row r="8" spans="3:15" s="54" customFormat="1" ht="37.5" customHeight="1">
      <c r="C8" s="634" t="s">
        <v>529</v>
      </c>
      <c r="D8" s="634"/>
      <c r="E8" s="634"/>
      <c r="F8" s="634"/>
      <c r="G8" s="634"/>
      <c r="H8" s="634"/>
      <c r="I8" s="634"/>
      <c r="J8" s="634"/>
      <c r="K8" s="634"/>
      <c r="L8" s="634"/>
      <c r="M8" s="2"/>
      <c r="N8"/>
      <c r="O8"/>
    </row>
    <row r="9" spans="8:15" s="54" customFormat="1" ht="12.75">
      <c r="H9" s="2"/>
      <c r="I9" s="2"/>
      <c r="J9" s="2"/>
      <c r="L9" s="2"/>
      <c r="M9" s="2"/>
      <c r="N9"/>
      <c r="O9"/>
    </row>
    <row r="10" spans="3:17" s="54" customFormat="1" ht="12.75">
      <c r="C10" s="635" t="s">
        <v>438</v>
      </c>
      <c r="D10" s="636"/>
      <c r="H10" s="635" t="s">
        <v>437</v>
      </c>
      <c r="I10" s="636"/>
      <c r="J10" s="579"/>
      <c r="K10"/>
      <c r="L10"/>
      <c r="M10"/>
      <c r="N10"/>
      <c r="O10"/>
      <c r="Q10" s="579"/>
    </row>
    <row r="11" spans="8:17" s="54" customFormat="1" ht="12.75">
      <c r="H11" s="44"/>
      <c r="I11" s="580"/>
      <c r="J11" s="1"/>
      <c r="K11"/>
      <c r="L11"/>
      <c r="M11"/>
      <c r="N11"/>
      <c r="O11"/>
      <c r="Q11" s="7"/>
    </row>
    <row r="12" spans="3:17" s="54" customFormat="1" ht="12.75">
      <c r="C12" s="581" t="s">
        <v>530</v>
      </c>
      <c r="D12" s="33">
        <v>269.99021404999996</v>
      </c>
      <c r="H12" s="581" t="s">
        <v>530</v>
      </c>
      <c r="I12" s="33">
        <v>259.65</v>
      </c>
      <c r="J12" s="1"/>
      <c r="K12"/>
      <c r="L12"/>
      <c r="M12"/>
      <c r="N12"/>
      <c r="O12"/>
      <c r="Q12" s="1"/>
    </row>
    <row r="13" spans="3:17" s="54" customFormat="1" ht="12.75">
      <c r="C13" s="581" t="s">
        <v>532</v>
      </c>
      <c r="D13" s="582">
        <v>225.82118155</v>
      </c>
      <c r="H13" s="581" t="s">
        <v>531</v>
      </c>
      <c r="I13" s="582">
        <v>220.075</v>
      </c>
      <c r="J13" s="1"/>
      <c r="K13" s="581"/>
      <c r="L13" s="582"/>
      <c r="M13" s="1"/>
      <c r="N13" s="581"/>
      <c r="O13" s="584"/>
      <c r="Q13" s="1"/>
    </row>
    <row r="14" spans="3:17" s="54" customFormat="1" ht="12.75">
      <c r="C14" s="581" t="s">
        <v>531</v>
      </c>
      <c r="D14" s="582">
        <v>199.76676314</v>
      </c>
      <c r="H14" s="581" t="s">
        <v>532</v>
      </c>
      <c r="I14" s="582">
        <v>202.876</v>
      </c>
      <c r="J14" s="1"/>
      <c r="K14" s="581"/>
      <c r="L14" s="582"/>
      <c r="M14" s="1"/>
      <c r="N14" s="581"/>
      <c r="O14" s="584"/>
      <c r="Q14" s="1"/>
    </row>
    <row r="15" spans="3:27" s="54" customFormat="1" ht="14.25" customHeight="1">
      <c r="C15" s="581" t="s">
        <v>533</v>
      </c>
      <c r="D15" s="582">
        <v>192.45233671999998</v>
      </c>
      <c r="H15" s="581" t="s">
        <v>533</v>
      </c>
      <c r="I15" s="582">
        <v>164.388</v>
      </c>
      <c r="J15" s="1"/>
      <c r="K15" s="581"/>
      <c r="L15" s="582"/>
      <c r="M15" s="1"/>
      <c r="N15" s="581"/>
      <c r="O15" s="584"/>
      <c r="Q15" s="78"/>
      <c r="Z15" s="54" t="e">
        <f aca="true" t="shared" si="0" ref="Z15:Z23">+I15/$I$23</f>
        <v>#DIV/0!</v>
      </c>
      <c r="AA15" s="54" t="e">
        <f aca="true" t="shared" si="1" ref="AA15:AA23">+K15/$K$23</f>
        <v>#DIV/0!</v>
      </c>
    </row>
    <row r="16" spans="3:27" s="54" customFormat="1" ht="12.75">
      <c r="C16" s="581" t="s">
        <v>535</v>
      </c>
      <c r="D16" s="582">
        <v>185.56883948999996</v>
      </c>
      <c r="H16" s="581" t="s">
        <v>534</v>
      </c>
      <c r="I16" s="582">
        <v>160.968</v>
      </c>
      <c r="J16" s="1"/>
      <c r="K16" s="581"/>
      <c r="L16" s="582"/>
      <c r="M16" s="1"/>
      <c r="N16" s="581"/>
      <c r="O16" s="584"/>
      <c r="Q16" s="1"/>
      <c r="Z16" s="54" t="e">
        <f t="shared" si="0"/>
        <v>#DIV/0!</v>
      </c>
      <c r="AA16" s="54" t="e">
        <f t="shared" si="1"/>
        <v>#DIV/0!</v>
      </c>
    </row>
    <row r="17" spans="3:27" s="54" customFormat="1" ht="12.75">
      <c r="C17" s="581" t="s">
        <v>534</v>
      </c>
      <c r="D17" s="582">
        <v>178.88825255999996</v>
      </c>
      <c r="H17" s="581" t="s">
        <v>535</v>
      </c>
      <c r="I17" s="582">
        <v>147.633</v>
      </c>
      <c r="J17" s="1"/>
      <c r="K17" s="581"/>
      <c r="L17" s="582"/>
      <c r="M17" s="1"/>
      <c r="N17" s="581"/>
      <c r="O17" s="584"/>
      <c r="Q17" s="1"/>
      <c r="Z17" s="54" t="e">
        <f t="shared" si="0"/>
        <v>#DIV/0!</v>
      </c>
      <c r="AA17" s="54" t="e">
        <f t="shared" si="1"/>
        <v>#DIV/0!</v>
      </c>
    </row>
    <row r="18" spans="3:27" s="54" customFormat="1" ht="12.75">
      <c r="C18" s="581" t="s">
        <v>538</v>
      </c>
      <c r="D18" s="582">
        <v>148.05282646999996</v>
      </c>
      <c r="H18" s="581" t="s">
        <v>536</v>
      </c>
      <c r="I18" s="582">
        <v>139.205</v>
      </c>
      <c r="J18" s="1"/>
      <c r="K18" s="581"/>
      <c r="L18" s="582"/>
      <c r="M18" s="1"/>
      <c r="N18" s="581"/>
      <c r="O18" s="584"/>
      <c r="Q18" s="1"/>
      <c r="Z18" s="54" t="e">
        <f t="shared" si="0"/>
        <v>#DIV/0!</v>
      </c>
      <c r="AA18" s="54" t="e">
        <f t="shared" si="1"/>
        <v>#DIV/0!</v>
      </c>
    </row>
    <row r="19" spans="3:27" s="54" customFormat="1" ht="12.75">
      <c r="C19" s="581" t="s">
        <v>536</v>
      </c>
      <c r="D19" s="582">
        <v>145.48993062000002</v>
      </c>
      <c r="H19" s="581" t="s">
        <v>537</v>
      </c>
      <c r="I19" s="582">
        <v>123.302</v>
      </c>
      <c r="J19" s="1"/>
      <c r="K19" s="581"/>
      <c r="L19" s="582"/>
      <c r="M19" s="1"/>
      <c r="N19" s="581"/>
      <c r="O19" s="584"/>
      <c r="Q19" s="1"/>
      <c r="Z19" s="54" t="e">
        <f t="shared" si="0"/>
        <v>#DIV/0!</v>
      </c>
      <c r="AA19" s="54" t="e">
        <f t="shared" si="1"/>
        <v>#DIV/0!</v>
      </c>
    </row>
    <row r="20" spans="3:27" s="54" customFormat="1" ht="14.25" customHeight="1">
      <c r="C20" s="581" t="s">
        <v>540</v>
      </c>
      <c r="D20" s="582">
        <v>130.51990429</v>
      </c>
      <c r="H20" s="581" t="s">
        <v>538</v>
      </c>
      <c r="I20" s="582">
        <v>121.738</v>
      </c>
      <c r="J20" s="1"/>
      <c r="K20" s="581"/>
      <c r="L20" s="582"/>
      <c r="M20" s="1"/>
      <c r="N20" s="581"/>
      <c r="O20" s="584"/>
      <c r="Q20" s="1"/>
      <c r="Z20" s="54" t="e">
        <f t="shared" si="0"/>
        <v>#DIV/0!</v>
      </c>
      <c r="AA20" s="54" t="e">
        <f t="shared" si="1"/>
        <v>#DIV/0!</v>
      </c>
    </row>
    <row r="21" spans="3:27" s="54" customFormat="1" ht="14.25" customHeight="1">
      <c r="C21" s="581" t="s">
        <v>539</v>
      </c>
      <c r="D21" s="582">
        <v>129.43227757</v>
      </c>
      <c r="H21" s="581" t="s">
        <v>539</v>
      </c>
      <c r="I21" s="582">
        <v>101.534</v>
      </c>
      <c r="J21" s="1"/>
      <c r="K21" s="583"/>
      <c r="L21" s="582"/>
      <c r="M21" s="1"/>
      <c r="N21" s="581"/>
      <c r="O21" s="584"/>
      <c r="Q21" s="1"/>
      <c r="Z21" s="54" t="e">
        <f t="shared" si="0"/>
        <v>#DIV/0!</v>
      </c>
      <c r="AA21" s="54" t="e">
        <f t="shared" si="1"/>
        <v>#DIV/0!</v>
      </c>
    </row>
    <row r="22" spans="8:41" ht="12" customHeight="1">
      <c r="H22" s="44"/>
      <c r="I22" s="1"/>
      <c r="J22" s="580"/>
      <c r="K22" s="44"/>
      <c r="L22" s="1"/>
      <c r="M22" s="580"/>
      <c r="N22" s="428"/>
      <c r="O22" s="87"/>
      <c r="P22" s="428"/>
      <c r="Q22" s="40"/>
      <c r="R22"/>
      <c r="S22"/>
      <c r="T22"/>
      <c r="Z22" s="43" t="e">
        <f t="shared" si="0"/>
        <v>#DIV/0!</v>
      </c>
      <c r="AA22" s="43" t="e">
        <f t="shared" si="1"/>
        <v>#DIV/0!</v>
      </c>
      <c r="AE22" s="54"/>
      <c r="AF22" s="54"/>
      <c r="AG22" s="54"/>
      <c r="AH22" s="54"/>
      <c r="AI22" s="54"/>
      <c r="AJ22" s="54"/>
      <c r="AK22" s="54"/>
      <c r="AL22" s="54"/>
      <c r="AM22" s="54"/>
      <c r="AN22" s="54"/>
      <c r="AO22" s="54"/>
    </row>
    <row r="23" spans="3:41" ht="12.75" customHeight="1">
      <c r="C23"/>
      <c r="D23"/>
      <c r="E23"/>
      <c r="F23"/>
      <c r="G23"/>
      <c r="H23"/>
      <c r="I23"/>
      <c r="J23"/>
      <c r="K23"/>
      <c r="L23"/>
      <c r="M23"/>
      <c r="N23" s="428"/>
      <c r="O23" s="219"/>
      <c r="P23" s="428"/>
      <c r="Q23" s="219"/>
      <c r="R23"/>
      <c r="S23"/>
      <c r="T23"/>
      <c r="Z23" s="43" t="e">
        <f t="shared" si="0"/>
        <v>#DIV/0!</v>
      </c>
      <c r="AA23" s="43" t="e">
        <f t="shared" si="1"/>
        <v>#DIV/0!</v>
      </c>
      <c r="AE23" s="54"/>
      <c r="AF23" s="54"/>
      <c r="AG23" s="54"/>
      <c r="AH23" s="54"/>
      <c r="AI23" s="54"/>
      <c r="AJ23" s="54"/>
      <c r="AK23" s="54"/>
      <c r="AL23" s="54"/>
      <c r="AM23" s="54"/>
      <c r="AN23" s="54"/>
      <c r="AO23" s="54"/>
    </row>
    <row r="24" spans="3:23" ht="3.75" customHeight="1">
      <c r="C24"/>
      <c r="D24"/>
      <c r="E24"/>
      <c r="F24"/>
      <c r="G24"/>
      <c r="H24"/>
      <c r="I24"/>
      <c r="J24"/>
      <c r="K24"/>
      <c r="L24"/>
      <c r="M24"/>
      <c r="N24" s="428"/>
      <c r="O24" s="77"/>
      <c r="P24" s="428"/>
      <c r="Q24" s="77"/>
      <c r="R24"/>
      <c r="S24"/>
      <c r="T24"/>
      <c r="U24" s="44"/>
      <c r="V24" s="44"/>
      <c r="W24" s="44"/>
    </row>
    <row r="25" spans="3:20" ht="12" customHeight="1">
      <c r="C25"/>
      <c r="D25"/>
      <c r="E25"/>
      <c r="F25"/>
      <c r="G25"/>
      <c r="H25"/>
      <c r="I25"/>
      <c r="J25"/>
      <c r="K25"/>
      <c r="L25"/>
      <c r="M25"/>
      <c r="N25" s="428"/>
      <c r="O25" s="342"/>
      <c r="P25" s="428"/>
      <c r="Q25" s="428"/>
      <c r="R25"/>
      <c r="S25"/>
      <c r="T25"/>
    </row>
    <row r="26" spans="3:27" ht="12" customHeight="1">
      <c r="C26"/>
      <c r="D26"/>
      <c r="E26"/>
      <c r="F26"/>
      <c r="G26"/>
      <c r="H26"/>
      <c r="I26"/>
      <c r="J26"/>
      <c r="K26"/>
      <c r="L26"/>
      <c r="M26"/>
      <c r="N26" s="428"/>
      <c r="O26" s="34"/>
      <c r="P26" s="428"/>
      <c r="Q26" s="255"/>
      <c r="R26"/>
      <c r="S26"/>
      <c r="T26"/>
      <c r="Z26" s="43" t="e">
        <f aca="true" t="shared" si="2" ref="Z26:Z33">+I26/$I$33</f>
        <v>#DIV/0!</v>
      </c>
      <c r="AA26" s="43" t="e">
        <f aca="true" t="shared" si="3" ref="AA26:AA33">+K26/$K$33</f>
        <v>#DIV/0!</v>
      </c>
    </row>
    <row r="27" spans="3:27" ht="12" customHeight="1">
      <c r="C27"/>
      <c r="D27"/>
      <c r="E27"/>
      <c r="F27"/>
      <c r="G27"/>
      <c r="H27"/>
      <c r="I27"/>
      <c r="J27"/>
      <c r="K27"/>
      <c r="L27"/>
      <c r="M27"/>
      <c r="N27" s="428"/>
      <c r="O27" s="87"/>
      <c r="P27" s="428"/>
      <c r="Q27" s="349"/>
      <c r="R27"/>
      <c r="S27"/>
      <c r="T27"/>
      <c r="Z27" s="43" t="e">
        <f t="shared" si="2"/>
        <v>#DIV/0!</v>
      </c>
      <c r="AA27" s="43" t="e">
        <f t="shared" si="3"/>
        <v>#DIV/0!</v>
      </c>
    </row>
    <row r="28" spans="3:27" ht="12" customHeight="1">
      <c r="C28"/>
      <c r="D28"/>
      <c r="E28"/>
      <c r="F28"/>
      <c r="G28"/>
      <c r="H28"/>
      <c r="I28"/>
      <c r="J28"/>
      <c r="K28"/>
      <c r="L28"/>
      <c r="M28"/>
      <c r="N28" s="428"/>
      <c r="O28" s="87"/>
      <c r="P28" s="428"/>
      <c r="Q28" s="349"/>
      <c r="R28"/>
      <c r="S28"/>
      <c r="T28"/>
      <c r="Z28" s="43" t="e">
        <f t="shared" si="2"/>
        <v>#DIV/0!</v>
      </c>
      <c r="AA28" s="43" t="e">
        <f t="shared" si="3"/>
        <v>#DIV/0!</v>
      </c>
    </row>
    <row r="29" spans="3:27" ht="12" customHeight="1">
      <c r="C29"/>
      <c r="D29"/>
      <c r="E29"/>
      <c r="F29"/>
      <c r="G29"/>
      <c r="H29"/>
      <c r="I29"/>
      <c r="J29"/>
      <c r="K29"/>
      <c r="L29"/>
      <c r="M29"/>
      <c r="N29" s="428"/>
      <c r="O29" s="87"/>
      <c r="P29" s="428"/>
      <c r="Q29" s="349"/>
      <c r="R29"/>
      <c r="S29"/>
      <c r="T29"/>
      <c r="Z29" s="43" t="e">
        <f t="shared" si="2"/>
        <v>#DIV/0!</v>
      </c>
      <c r="AA29" s="43" t="e">
        <f t="shared" si="3"/>
        <v>#DIV/0!</v>
      </c>
    </row>
    <row r="30" spans="3:27" ht="12" customHeight="1">
      <c r="C30"/>
      <c r="D30"/>
      <c r="E30"/>
      <c r="F30"/>
      <c r="G30"/>
      <c r="H30"/>
      <c r="I30"/>
      <c r="J30"/>
      <c r="K30"/>
      <c r="L30"/>
      <c r="M30"/>
      <c r="N30" s="428"/>
      <c r="O30" s="87"/>
      <c r="P30" s="428"/>
      <c r="Q30" s="349"/>
      <c r="R30"/>
      <c r="S30"/>
      <c r="T30"/>
      <c r="Z30" s="43" t="e">
        <f t="shared" si="2"/>
        <v>#DIV/0!</v>
      </c>
      <c r="AA30" s="43" t="e">
        <f t="shared" si="3"/>
        <v>#DIV/0!</v>
      </c>
    </row>
    <row r="31" spans="3:27" ht="12" customHeight="1">
      <c r="C31"/>
      <c r="D31"/>
      <c r="E31"/>
      <c r="F31"/>
      <c r="G31"/>
      <c r="H31"/>
      <c r="I31"/>
      <c r="J31"/>
      <c r="K31"/>
      <c r="L31"/>
      <c r="M31"/>
      <c r="N31" s="428"/>
      <c r="O31" s="87"/>
      <c r="P31" s="428"/>
      <c r="Q31" s="349"/>
      <c r="R31"/>
      <c r="S31"/>
      <c r="T31"/>
      <c r="Z31" s="43" t="e">
        <f t="shared" si="2"/>
        <v>#DIV/0!</v>
      </c>
      <c r="AA31" s="43" t="e">
        <f t="shared" si="3"/>
        <v>#DIV/0!</v>
      </c>
    </row>
    <row r="32" spans="3:27" ht="12" customHeight="1">
      <c r="C32"/>
      <c r="D32"/>
      <c r="E32"/>
      <c r="F32"/>
      <c r="G32"/>
      <c r="H32"/>
      <c r="I32"/>
      <c r="J32"/>
      <c r="K32"/>
      <c r="L32"/>
      <c r="M32"/>
      <c r="N32" s="428"/>
      <c r="O32" s="87"/>
      <c r="P32" s="428"/>
      <c r="Q32" s="349"/>
      <c r="R32"/>
      <c r="S32"/>
      <c r="T32"/>
      <c r="Z32" s="43" t="e">
        <f t="shared" si="2"/>
        <v>#DIV/0!</v>
      </c>
      <c r="AA32" s="43" t="e">
        <f t="shared" si="3"/>
        <v>#DIV/0!</v>
      </c>
    </row>
    <row r="33" spans="3:27" ht="12.75" customHeight="1">
      <c r="C33"/>
      <c r="D33"/>
      <c r="E33"/>
      <c r="F33"/>
      <c r="G33"/>
      <c r="H33"/>
      <c r="I33"/>
      <c r="J33"/>
      <c r="K33"/>
      <c r="L33"/>
      <c r="M33"/>
      <c r="N33" s="428"/>
      <c r="O33" s="218"/>
      <c r="P33" s="428"/>
      <c r="Q33" s="218"/>
      <c r="R33"/>
      <c r="S33"/>
      <c r="T33"/>
      <c r="Z33" s="43" t="e">
        <f t="shared" si="2"/>
        <v>#DIV/0!</v>
      </c>
      <c r="AA33" s="43" t="e">
        <f t="shared" si="3"/>
        <v>#DIV/0!</v>
      </c>
    </row>
    <row r="34" spans="3:20" ht="5.25" customHeight="1">
      <c r="C34"/>
      <c r="D34"/>
      <c r="E34"/>
      <c r="F34"/>
      <c r="G34"/>
      <c r="H34"/>
      <c r="I34"/>
      <c r="J34"/>
      <c r="K34"/>
      <c r="L34"/>
      <c r="M34"/>
      <c r="N34" s="428"/>
      <c r="O34" s="77"/>
      <c r="P34" s="428"/>
      <c r="Q34" s="77"/>
      <c r="R34"/>
      <c r="S34"/>
      <c r="T34"/>
    </row>
    <row r="35" spans="3:20" ht="12" customHeight="1">
      <c r="C35"/>
      <c r="D35"/>
      <c r="E35"/>
      <c r="F35"/>
      <c r="G35"/>
      <c r="H35"/>
      <c r="I35"/>
      <c r="J35"/>
      <c r="K35"/>
      <c r="L35"/>
      <c r="M35"/>
      <c r="N35" s="428"/>
      <c r="O35" s="522"/>
      <c r="P35" s="428"/>
      <c r="Q35" s="428"/>
      <c r="R35"/>
      <c r="S35"/>
      <c r="T35"/>
    </row>
    <row r="36" spans="3:23" ht="12" customHeight="1">
      <c r="C36"/>
      <c r="D36"/>
      <c r="E36"/>
      <c r="F36"/>
      <c r="G36"/>
      <c r="H36"/>
      <c r="I36"/>
      <c r="J36"/>
      <c r="K36"/>
      <c r="L36"/>
      <c r="M36"/>
      <c r="N36" s="428"/>
      <c r="O36" s="34"/>
      <c r="P36" s="428"/>
      <c r="Q36" s="34"/>
      <c r="R36"/>
      <c r="S36"/>
      <c r="T36"/>
      <c r="U36"/>
      <c r="V36"/>
      <c r="W36"/>
    </row>
    <row r="37" spans="3:23" ht="12" customHeight="1">
      <c r="C37"/>
      <c r="D37"/>
      <c r="E37"/>
      <c r="F37"/>
      <c r="G37"/>
      <c r="H37"/>
      <c r="I37"/>
      <c r="J37"/>
      <c r="K37"/>
      <c r="L37"/>
      <c r="M37"/>
      <c r="N37" s="428"/>
      <c r="O37" s="40"/>
      <c r="P37" s="428"/>
      <c r="Q37" s="55"/>
      <c r="R37"/>
      <c r="S37"/>
      <c r="T37"/>
      <c r="U37"/>
      <c r="V37"/>
      <c r="W37"/>
    </row>
    <row r="38" spans="14:23" ht="12" customHeight="1">
      <c r="N38" s="428"/>
      <c r="O38" s="87"/>
      <c r="P38" s="428"/>
      <c r="Q38" s="40"/>
      <c r="R38"/>
      <c r="S38"/>
      <c r="T38"/>
      <c r="U38"/>
      <c r="V38"/>
      <c r="W38"/>
    </row>
    <row r="39" spans="14:20" ht="12" customHeight="1">
      <c r="N39" s="428"/>
      <c r="O39" s="371"/>
      <c r="P39" s="428"/>
      <c r="Q39" s="371"/>
      <c r="R39"/>
      <c r="S39"/>
      <c r="T39"/>
    </row>
    <row r="40" spans="14:20" ht="12" customHeight="1">
      <c r="N40" s="428"/>
      <c r="O40" s="87"/>
      <c r="P40" s="428"/>
      <c r="Q40" s="40"/>
      <c r="R40"/>
      <c r="S40"/>
      <c r="T40"/>
    </row>
    <row r="41" spans="14:20" ht="12" customHeight="1">
      <c r="N41" s="428"/>
      <c r="O41" s="87"/>
      <c r="P41" s="428"/>
      <c r="Q41" s="40"/>
      <c r="R41"/>
      <c r="S41"/>
      <c r="T41"/>
    </row>
    <row r="42" spans="14:20" ht="12.75" customHeight="1">
      <c r="N42" s="428"/>
      <c r="O42" s="219"/>
      <c r="P42" s="428"/>
      <c r="Q42" s="219"/>
      <c r="R42"/>
      <c r="S42"/>
      <c r="T42"/>
    </row>
    <row r="43" spans="14:20" ht="6" customHeight="1">
      <c r="N43" s="428"/>
      <c r="O43" s="77"/>
      <c r="P43" s="428"/>
      <c r="Q43" s="77"/>
      <c r="R43"/>
      <c r="S43"/>
      <c r="T43"/>
    </row>
    <row r="44" spans="14:20" ht="10.5" customHeight="1">
      <c r="N44" s="428"/>
      <c r="O44" s="274"/>
      <c r="P44" s="428"/>
      <c r="Q44" s="274"/>
      <c r="R44"/>
      <c r="S44"/>
      <c r="T44"/>
    </row>
    <row r="45" spans="14:20" ht="10.5" customHeight="1">
      <c r="N45" s="428"/>
      <c r="O45" s="410"/>
      <c r="P45" s="428"/>
      <c r="Q45" s="410"/>
      <c r="R45"/>
      <c r="S45"/>
      <c r="T45"/>
    </row>
    <row r="46" spans="14:19" ht="10.5" customHeight="1">
      <c r="N46" s="428"/>
      <c r="O46" s="274"/>
      <c r="P46" s="428"/>
      <c r="Q46" s="274"/>
      <c r="R46" s="274"/>
      <c r="S46" s="185"/>
    </row>
    <row r="47" spans="14:16" ht="12.75">
      <c r="N47"/>
      <c r="O47"/>
      <c r="P47"/>
    </row>
    <row r="64" spans="14:17" ht="12.75">
      <c r="N64"/>
      <c r="O64"/>
      <c r="P64"/>
      <c r="Q64"/>
    </row>
    <row r="65" spans="14:17" ht="12.75">
      <c r="N65"/>
      <c r="O65"/>
      <c r="P65"/>
      <c r="Q65"/>
    </row>
    <row r="66" spans="14:17" ht="12.75">
      <c r="N66"/>
      <c r="O66"/>
      <c r="P66"/>
      <c r="Q66"/>
    </row>
    <row r="67" spans="14:17" ht="12.75">
      <c r="N67"/>
      <c r="O67"/>
      <c r="P67"/>
      <c r="Q67"/>
    </row>
    <row r="68" spans="14:17" ht="12.75">
      <c r="N68"/>
      <c r="O68"/>
      <c r="P68"/>
      <c r="Q68"/>
    </row>
    <row r="69" spans="14:19" ht="12.75">
      <c r="N69"/>
      <c r="O69"/>
      <c r="P69"/>
      <c r="Q69"/>
      <c r="R69" s="9"/>
      <c r="S69" s="7"/>
    </row>
    <row r="70" spans="14:19" ht="12.75">
      <c r="N70"/>
      <c r="O70"/>
      <c r="P70"/>
      <c r="Q70"/>
      <c r="R70" s="9"/>
      <c r="S70" s="7"/>
    </row>
    <row r="71" spans="14:19" ht="12.75">
      <c r="N71"/>
      <c r="O71"/>
      <c r="P71"/>
      <c r="Q71"/>
      <c r="R71" s="12"/>
      <c r="S71" s="7"/>
    </row>
    <row r="72" spans="14:19" ht="12.75">
      <c r="N72"/>
      <c r="O72"/>
      <c r="P72"/>
      <c r="Q72"/>
      <c r="S72" s="7"/>
    </row>
    <row r="73" spans="15:19" ht="12.75">
      <c r="O73" s="9"/>
      <c r="S73" s="7"/>
    </row>
    <row r="74" ht="12.75">
      <c r="S74" s="7"/>
    </row>
    <row r="75" ht="12.75">
      <c r="S75" s="7"/>
    </row>
    <row r="76" spans="14:19" ht="12.75">
      <c r="N76" s="44"/>
      <c r="O76" s="44"/>
      <c r="S76" s="7"/>
    </row>
    <row r="77" spans="14:18" ht="12.75">
      <c r="N77" s="42"/>
      <c r="O77" s="42"/>
      <c r="P77" s="9"/>
      <c r="Q77" s="9"/>
      <c r="R77" s="9"/>
    </row>
    <row r="78" spans="14:18" ht="12.75">
      <c r="N78" s="44"/>
      <c r="O78" s="42"/>
      <c r="P78" s="9"/>
      <c r="Q78" s="9"/>
      <c r="R78" s="9"/>
    </row>
    <row r="79" spans="14:15" ht="12.75">
      <c r="N79" s="44"/>
      <c r="O79" s="44"/>
    </row>
    <row r="80" spans="14:18" ht="12.75">
      <c r="N80" s="42"/>
      <c r="O80" s="42"/>
      <c r="P80" s="9"/>
      <c r="R80" s="9"/>
    </row>
    <row r="81" spans="14:18" ht="12.75">
      <c r="N81" s="42"/>
      <c r="O81" s="42"/>
      <c r="P81" s="9"/>
      <c r="R81" s="9"/>
    </row>
    <row r="82" spans="14:15" ht="12.75">
      <c r="N82" s="44"/>
      <c r="O82" s="44"/>
    </row>
    <row r="83" spans="14:15" ht="12.75">
      <c r="N83"/>
      <c r="O83"/>
    </row>
    <row r="84" spans="14:15" ht="12.75">
      <c r="N84"/>
      <c r="O84"/>
    </row>
    <row r="85" spans="14:15" ht="12.75">
      <c r="N85"/>
      <c r="O85"/>
    </row>
    <row r="86" spans="14:15" ht="12.75">
      <c r="N86"/>
      <c r="O86"/>
    </row>
    <row r="87" spans="14:15" ht="12.75">
      <c r="N87"/>
      <c r="O87"/>
    </row>
    <row r="88" spans="14:15" ht="12.75">
      <c r="N88"/>
      <c r="O88"/>
    </row>
  </sheetData>
  <sheetProtection objects="1"/>
  <mergeCells count="7">
    <mergeCell ref="C8:L8"/>
    <mergeCell ref="C10:D10"/>
    <mergeCell ref="H10:I10"/>
    <mergeCell ref="A1:N1"/>
    <mergeCell ref="A2:N2"/>
    <mergeCell ref="A3:N3"/>
    <mergeCell ref="A4:N4"/>
  </mergeCells>
  <printOptions/>
  <pageMargins left="0.5" right="0.5" top="0.5" bottom="0.44" header="0.75" footer="0.25"/>
  <pageSetup horizontalDpi="600" verticalDpi="600" orientation="landscape" r:id="rId2"/>
  <headerFooter alignWithMargins="0">
    <oddFooter>&amp;L&amp;A&amp;R&amp;"Arial,Regular"&amp;8Page 21</oddFooter>
  </headerFooter>
  <drawing r:id="rId1"/>
</worksheet>
</file>

<file path=xl/worksheets/sheet24.xml><?xml version="1.0" encoding="utf-8"?>
<worksheet xmlns="http://schemas.openxmlformats.org/spreadsheetml/2006/main" xmlns:r="http://schemas.openxmlformats.org/officeDocument/2006/relationships">
  <sheetPr codeName="Sheet30"/>
  <dimension ref="A1:AC68"/>
  <sheetViews>
    <sheetView workbookViewId="0" topLeftCell="A1">
      <selection activeCell="A5" sqref="A5"/>
    </sheetView>
  </sheetViews>
  <sheetFormatPr defaultColWidth="9.33203125" defaultRowHeight="12.75"/>
  <cols>
    <col min="1" max="1" width="2.83203125" style="1" customWidth="1"/>
    <col min="2" max="2" width="5.83203125" style="1" customWidth="1"/>
    <col min="3" max="3" width="30.83203125" style="1" customWidth="1"/>
    <col min="4" max="4" width="2.83203125" style="1" customWidth="1"/>
    <col min="5" max="5" width="12.83203125" style="1" customWidth="1"/>
    <col min="6" max="6" width="1.83203125" style="1" customWidth="1"/>
    <col min="7" max="7" width="12.83203125" style="24" customWidth="1"/>
    <col min="8" max="8" width="1.83203125" style="24" customWidth="1"/>
    <col min="9" max="9" width="12.83203125" style="1" customWidth="1"/>
    <col min="10" max="11" width="2.5" style="1" customWidth="1"/>
    <col min="12" max="12" width="12.83203125" style="1" customWidth="1"/>
    <col min="13" max="13" width="1.83203125" style="24" customWidth="1"/>
    <col min="14" max="14" width="12.83203125" style="1" customWidth="1"/>
    <col min="15" max="15" width="1.83203125" style="1" customWidth="1"/>
    <col min="16" max="16" width="12.83203125" style="1" customWidth="1"/>
    <col min="17" max="16384" width="8.16015625" style="1" customWidth="1"/>
  </cols>
  <sheetData>
    <row r="1" spans="1:17" ht="12.75">
      <c r="A1" s="619" t="s">
        <v>96</v>
      </c>
      <c r="B1" s="619"/>
      <c r="C1" s="619"/>
      <c r="D1" s="619"/>
      <c r="E1" s="619"/>
      <c r="F1" s="619"/>
      <c r="G1" s="619"/>
      <c r="H1" s="619"/>
      <c r="I1" s="619"/>
      <c r="J1" s="619"/>
      <c r="K1" s="619"/>
      <c r="L1" s="619"/>
      <c r="M1" s="619"/>
      <c r="N1" s="619"/>
      <c r="O1" s="619"/>
      <c r="P1" s="619"/>
      <c r="Q1" s="619"/>
    </row>
    <row r="2" spans="1:17" ht="12.75" customHeight="1">
      <c r="A2" s="618" t="s">
        <v>1</v>
      </c>
      <c r="B2" s="618"/>
      <c r="C2" s="618"/>
      <c r="D2" s="618"/>
      <c r="E2" s="618"/>
      <c r="F2" s="618"/>
      <c r="G2" s="618"/>
      <c r="H2" s="618"/>
      <c r="I2" s="618"/>
      <c r="J2" s="618"/>
      <c r="K2" s="618"/>
      <c r="L2" s="618"/>
      <c r="M2" s="618"/>
      <c r="N2" s="618"/>
      <c r="O2" s="618"/>
      <c r="P2" s="618"/>
      <c r="Q2" s="618"/>
    </row>
    <row r="3" spans="1:17" ht="12.75" customHeight="1">
      <c r="A3" s="617" t="s">
        <v>154</v>
      </c>
      <c r="B3" s="617"/>
      <c r="C3" s="617"/>
      <c r="D3" s="617"/>
      <c r="E3" s="617"/>
      <c r="F3" s="617"/>
      <c r="G3" s="617"/>
      <c r="H3" s="617"/>
      <c r="I3" s="617"/>
      <c r="J3" s="617"/>
      <c r="K3" s="617"/>
      <c r="L3" s="617"/>
      <c r="M3" s="617"/>
      <c r="N3" s="617"/>
      <c r="O3" s="617"/>
      <c r="P3" s="617"/>
      <c r="Q3" s="617"/>
    </row>
    <row r="4" spans="1:17" ht="12.75" customHeight="1">
      <c r="A4" s="617" t="s">
        <v>170</v>
      </c>
      <c r="B4" s="617"/>
      <c r="C4" s="617"/>
      <c r="D4" s="617"/>
      <c r="E4" s="617"/>
      <c r="F4" s="617"/>
      <c r="G4" s="617"/>
      <c r="H4" s="617"/>
      <c r="I4" s="617"/>
      <c r="J4" s="617"/>
      <c r="K4" s="617"/>
      <c r="L4" s="617"/>
      <c r="M4" s="617"/>
      <c r="N4" s="617"/>
      <c r="O4" s="617"/>
      <c r="P4" s="617"/>
      <c r="Q4" s="617"/>
    </row>
    <row r="5" spans="3:16" ht="10.5" customHeight="1">
      <c r="C5" s="539"/>
      <c r="D5" s="21"/>
      <c r="E5" s="21"/>
      <c r="F5" s="21"/>
      <c r="G5" s="21"/>
      <c r="H5" s="21"/>
      <c r="I5" s="21"/>
      <c r="L5" s="7"/>
      <c r="M5" s="503"/>
      <c r="N5" s="7"/>
      <c r="O5" s="7"/>
      <c r="P5" s="503"/>
    </row>
    <row r="6" spans="3:16" ht="11.25">
      <c r="C6" s="2"/>
      <c r="D6" s="2"/>
      <c r="E6" s="103" t="s">
        <v>446</v>
      </c>
      <c r="F6" s="103"/>
      <c r="G6" s="103"/>
      <c r="H6" s="103"/>
      <c r="I6" s="103"/>
      <c r="K6" s="2"/>
      <c r="L6" s="103" t="s">
        <v>447</v>
      </c>
      <c r="M6" s="103"/>
      <c r="N6" s="103"/>
      <c r="O6" s="103"/>
      <c r="P6" s="103"/>
    </row>
    <row r="7" spans="5:15" ht="11.25">
      <c r="E7" s="2" t="s">
        <v>178</v>
      </c>
      <c r="F7" s="2"/>
      <c r="G7" s="260" t="s">
        <v>179</v>
      </c>
      <c r="H7" s="260"/>
      <c r="L7" s="2" t="s">
        <v>178</v>
      </c>
      <c r="M7" s="2"/>
      <c r="N7" s="260" t="s">
        <v>179</v>
      </c>
      <c r="O7" s="260"/>
    </row>
    <row r="8" spans="5:16" ht="11.25">
      <c r="E8" s="2" t="s">
        <v>251</v>
      </c>
      <c r="F8" s="2"/>
      <c r="G8" s="2" t="s">
        <v>251</v>
      </c>
      <c r="H8" s="260"/>
      <c r="I8" s="260" t="s">
        <v>93</v>
      </c>
      <c r="L8" s="2" t="s">
        <v>251</v>
      </c>
      <c r="M8" s="2"/>
      <c r="N8" s="2" t="s">
        <v>251</v>
      </c>
      <c r="O8" s="260"/>
      <c r="P8" s="260" t="s">
        <v>93</v>
      </c>
    </row>
    <row r="9" spans="5:16" ht="11.25">
      <c r="E9" s="4" t="s">
        <v>252</v>
      </c>
      <c r="F9" s="4"/>
      <c r="G9" s="62" t="s">
        <v>253</v>
      </c>
      <c r="H9" s="62"/>
      <c r="I9" s="62" t="s">
        <v>180</v>
      </c>
      <c r="L9" s="4" t="s">
        <v>252</v>
      </c>
      <c r="M9" s="4"/>
      <c r="N9" s="62" t="s">
        <v>253</v>
      </c>
      <c r="O9" s="62"/>
      <c r="P9" s="62" t="s">
        <v>180</v>
      </c>
    </row>
    <row r="10" spans="7:16" ht="4.5" customHeight="1">
      <c r="G10" s="64"/>
      <c r="H10" s="64"/>
      <c r="I10" s="44"/>
      <c r="M10" s="1"/>
      <c r="N10" s="64"/>
      <c r="O10" s="64"/>
      <c r="P10" s="44"/>
    </row>
    <row r="11" spans="3:16" ht="11.25" customHeight="1">
      <c r="C11" s="183"/>
      <c r="G11" s="64"/>
      <c r="H11" s="64"/>
      <c r="I11" s="44"/>
      <c r="M11" s="1"/>
      <c r="N11" s="64"/>
      <c r="O11" s="64"/>
      <c r="P11" s="44"/>
    </row>
    <row r="12" spans="3:18" ht="12.75" customHeight="1">
      <c r="C12" s="44" t="s">
        <v>85</v>
      </c>
      <c r="D12" s="44"/>
      <c r="E12" s="33">
        <v>21</v>
      </c>
      <c r="F12" s="47"/>
      <c r="G12" s="47">
        <v>4</v>
      </c>
      <c r="H12" s="60"/>
      <c r="I12" s="33">
        <f>+E12+G12</f>
        <v>25</v>
      </c>
      <c r="J12" s="44"/>
      <c r="K12" s="44"/>
      <c r="L12" s="33">
        <f>-241+E12</f>
        <v>-220</v>
      </c>
      <c r="M12" s="47"/>
      <c r="N12" s="47">
        <v>134</v>
      </c>
      <c r="O12" s="60"/>
      <c r="P12" s="33">
        <f>+L12+N12</f>
        <v>-86</v>
      </c>
      <c r="R12" s="44"/>
    </row>
    <row r="13" spans="3:16" ht="12.75" customHeight="1">
      <c r="C13" s="44" t="s">
        <v>86</v>
      </c>
      <c r="D13" s="44"/>
      <c r="E13" s="349">
        <v>39</v>
      </c>
      <c r="F13" s="349"/>
      <c r="G13" s="349">
        <v>85</v>
      </c>
      <c r="H13" s="55"/>
      <c r="I13" s="65">
        <f>+E13+G13</f>
        <v>124</v>
      </c>
      <c r="J13" s="44"/>
      <c r="K13" s="44"/>
      <c r="L13" s="349">
        <f>124+E13</f>
        <v>163</v>
      </c>
      <c r="M13" s="349"/>
      <c r="N13" s="349">
        <v>114</v>
      </c>
      <c r="O13" s="55"/>
      <c r="P13" s="65">
        <f>+L13+N13</f>
        <v>277</v>
      </c>
    </row>
    <row r="14" spans="3:16" ht="12.75" customHeight="1">
      <c r="C14" s="44" t="s">
        <v>184</v>
      </c>
      <c r="D14" s="44"/>
      <c r="E14" s="349">
        <v>-35</v>
      </c>
      <c r="F14" s="349"/>
      <c r="G14" s="349">
        <v>0</v>
      </c>
      <c r="H14" s="407"/>
      <c r="I14" s="65">
        <f>+E14+G14</f>
        <v>-35</v>
      </c>
      <c r="J14" s="44"/>
      <c r="K14" s="44"/>
      <c r="L14" s="349">
        <f>-5+E14</f>
        <v>-40</v>
      </c>
      <c r="M14" s="349"/>
      <c r="N14" s="349">
        <f>0+G14</f>
        <v>0</v>
      </c>
      <c r="O14" s="407"/>
      <c r="P14" s="65">
        <f>+L14+N14</f>
        <v>-40</v>
      </c>
    </row>
    <row r="15" spans="3:16" ht="12.75" customHeight="1">
      <c r="C15" s="44" t="s">
        <v>204</v>
      </c>
      <c r="D15" s="44"/>
      <c r="E15" s="349">
        <v>-2</v>
      </c>
      <c r="F15" s="349"/>
      <c r="G15" s="349">
        <v>0</v>
      </c>
      <c r="H15" s="407"/>
      <c r="I15" s="65">
        <f>+E15+G15</f>
        <v>-2</v>
      </c>
      <c r="J15" s="44"/>
      <c r="K15" s="44"/>
      <c r="L15" s="349">
        <f>-11+E15</f>
        <v>-13</v>
      </c>
      <c r="M15" s="349"/>
      <c r="N15" s="349">
        <f>0+G15</f>
        <v>0</v>
      </c>
      <c r="O15" s="407"/>
      <c r="P15" s="65">
        <f>+L15+N15</f>
        <v>-13</v>
      </c>
    </row>
    <row r="16" spans="3:16" ht="12.75" customHeight="1">
      <c r="C16" s="44" t="s">
        <v>148</v>
      </c>
      <c r="D16" s="44"/>
      <c r="E16" s="261">
        <f>-6+32-15</f>
        <v>11</v>
      </c>
      <c r="F16" s="261"/>
      <c r="G16" s="261">
        <v>37</v>
      </c>
      <c r="H16" s="261"/>
      <c r="I16" s="234">
        <f>+E16+G16</f>
        <v>48</v>
      </c>
      <c r="J16" s="44"/>
      <c r="K16" s="44"/>
      <c r="L16" s="261">
        <f>2+23+E16</f>
        <v>36</v>
      </c>
      <c r="M16" s="261"/>
      <c r="N16" s="261">
        <f>68+G16</f>
        <v>105</v>
      </c>
      <c r="O16" s="261"/>
      <c r="P16" s="234">
        <f>+L16+N16</f>
        <v>141</v>
      </c>
    </row>
    <row r="17" spans="3:16" ht="12.75" customHeight="1">
      <c r="C17" s="369" t="s">
        <v>255</v>
      </c>
      <c r="D17" s="44"/>
      <c r="E17" s="229">
        <f>SUM(E12:E16)</f>
        <v>34</v>
      </c>
      <c r="F17" s="229"/>
      <c r="G17" s="229">
        <f>SUM(G12:G16)</f>
        <v>126</v>
      </c>
      <c r="H17" s="229"/>
      <c r="I17" s="229">
        <f>SUM(I12:I16)</f>
        <v>160</v>
      </c>
      <c r="J17" s="370"/>
      <c r="K17" s="44"/>
      <c r="L17" s="229">
        <f>SUM(L12:L16)</f>
        <v>-74</v>
      </c>
      <c r="M17" s="229"/>
      <c r="N17" s="229">
        <f>SUM(N12:N16)</f>
        <v>353</v>
      </c>
      <c r="O17" s="229"/>
      <c r="P17" s="229">
        <f>SUM(P12:P16)</f>
        <v>279</v>
      </c>
    </row>
    <row r="18" spans="3:16" ht="12.75" customHeight="1">
      <c r="C18" s="369" t="s">
        <v>14</v>
      </c>
      <c r="D18" s="44"/>
      <c r="E18" s="408">
        <v>-2</v>
      </c>
      <c r="F18" s="348"/>
      <c r="G18" s="348">
        <v>0</v>
      </c>
      <c r="H18" s="348"/>
      <c r="I18" s="234">
        <f>+E18+G18</f>
        <v>-2</v>
      </c>
      <c r="J18" s="369"/>
      <c r="K18" s="44"/>
      <c r="L18" s="408">
        <f>9+E18</f>
        <v>7</v>
      </c>
      <c r="M18" s="348"/>
      <c r="N18" s="348">
        <f>0+G18</f>
        <v>0</v>
      </c>
      <c r="O18" s="348"/>
      <c r="P18" s="234">
        <f>+L18+N18</f>
        <v>7</v>
      </c>
    </row>
    <row r="19" spans="3:16" ht="12.75" customHeight="1">
      <c r="C19" s="369" t="s">
        <v>255</v>
      </c>
      <c r="D19" s="35"/>
      <c r="E19" s="229">
        <f>SUM(E17:E18)</f>
        <v>32</v>
      </c>
      <c r="F19" s="262"/>
      <c r="G19" s="262">
        <f>SUM(G17:G18)</f>
        <v>126</v>
      </c>
      <c r="H19" s="262"/>
      <c r="I19" s="229">
        <f>SUM(I17:I18)</f>
        <v>158</v>
      </c>
      <c r="J19" s="370"/>
      <c r="K19" s="35"/>
      <c r="L19" s="229">
        <f>SUM(L17:L18)</f>
        <v>-67</v>
      </c>
      <c r="M19" s="262"/>
      <c r="N19" s="262">
        <f>SUM(N17:N18)</f>
        <v>353</v>
      </c>
      <c r="O19" s="262"/>
      <c r="P19" s="229">
        <f>SUM(P17:P18)</f>
        <v>286</v>
      </c>
    </row>
    <row r="20" spans="3:16" ht="12.75" customHeight="1">
      <c r="C20" s="369" t="s">
        <v>158</v>
      </c>
      <c r="D20" s="44"/>
      <c r="E20" s="348">
        <v>10</v>
      </c>
      <c r="F20" s="262"/>
      <c r="G20" s="348">
        <v>19</v>
      </c>
      <c r="H20" s="262"/>
      <c r="I20" s="234">
        <f>+E20+G20</f>
        <v>29</v>
      </c>
      <c r="J20" s="369"/>
      <c r="K20" s="44"/>
      <c r="L20" s="348">
        <f>-41+14+E20</f>
        <v>-17</v>
      </c>
      <c r="M20" s="262"/>
      <c r="N20" s="348">
        <f>44+G20</f>
        <v>63</v>
      </c>
      <c r="O20" s="262"/>
      <c r="P20" s="234">
        <f>+L20+N20</f>
        <v>46</v>
      </c>
    </row>
    <row r="21" spans="3:16" ht="12.75" customHeight="1" thickBot="1">
      <c r="C21" s="369" t="s">
        <v>256</v>
      </c>
      <c r="D21" s="44"/>
      <c r="E21" s="198">
        <f>+E19-E20</f>
        <v>22</v>
      </c>
      <c r="F21" s="217"/>
      <c r="G21" s="198">
        <f>+G19-G20</f>
        <v>107</v>
      </c>
      <c r="H21" s="217"/>
      <c r="I21" s="198">
        <f>+I19-I20</f>
        <v>129</v>
      </c>
      <c r="J21" s="369"/>
      <c r="K21" s="44"/>
      <c r="L21" s="198">
        <f>+L19-L20</f>
        <v>-50</v>
      </c>
      <c r="M21" s="217"/>
      <c r="N21" s="198">
        <f>+N19-N20</f>
        <v>290</v>
      </c>
      <c r="O21" s="217"/>
      <c r="P21" s="198">
        <f>+P19-P20</f>
        <v>240</v>
      </c>
    </row>
    <row r="22" spans="3:16" ht="12" thickTop="1">
      <c r="C22" s="44"/>
      <c r="D22" s="44"/>
      <c r="E22" s="44"/>
      <c r="F22" s="44"/>
      <c r="G22" s="64"/>
      <c r="H22" s="64"/>
      <c r="I22" s="44"/>
      <c r="J22" s="44"/>
      <c r="K22" s="44"/>
      <c r="L22" s="44"/>
      <c r="M22" s="44"/>
      <c r="N22" s="64"/>
      <c r="O22" s="64"/>
      <c r="P22" s="44"/>
    </row>
    <row r="23" spans="3:24" ht="19.5" customHeight="1">
      <c r="C23" s="637" t="s">
        <v>469</v>
      </c>
      <c r="D23" s="639"/>
      <c r="E23" s="639"/>
      <c r="F23" s="639"/>
      <c r="G23" s="639"/>
      <c r="H23" s="639"/>
      <c r="I23" s="639"/>
      <c r="J23" s="639"/>
      <c r="K23" s="639"/>
      <c r="L23" s="639"/>
      <c r="M23" s="639"/>
      <c r="N23" s="639"/>
      <c r="O23" s="639"/>
      <c r="P23" s="639"/>
      <c r="S23"/>
      <c r="T23"/>
      <c r="U23"/>
      <c r="V23"/>
      <c r="W23"/>
      <c r="X23"/>
    </row>
    <row r="24" spans="3:24" ht="8.25" customHeight="1">
      <c r="C24" s="93"/>
      <c r="D24" s="93"/>
      <c r="F24" s="93"/>
      <c r="G24" s="93"/>
      <c r="H24" s="93"/>
      <c r="I24" s="93"/>
      <c r="L24" s="7"/>
      <c r="M24" s="433"/>
      <c r="N24" s="7"/>
      <c r="O24" s="7"/>
      <c r="P24" s="433"/>
      <c r="S24"/>
      <c r="T24"/>
      <c r="U24"/>
      <c r="V24"/>
      <c r="W24"/>
      <c r="X24"/>
    </row>
    <row r="25" spans="1:24" ht="12.75">
      <c r="A25" s="44"/>
      <c r="B25" s="44"/>
      <c r="C25" s="44"/>
      <c r="D25" s="44"/>
      <c r="E25" s="103" t="s">
        <v>448</v>
      </c>
      <c r="F25" s="103"/>
      <c r="G25" s="103"/>
      <c r="H25" s="103"/>
      <c r="I25" s="103"/>
      <c r="K25" s="2"/>
      <c r="L25" s="103" t="s">
        <v>449</v>
      </c>
      <c r="M25" s="103"/>
      <c r="N25" s="103"/>
      <c r="O25" s="103"/>
      <c r="P25" s="103"/>
      <c r="Q25" s="44"/>
      <c r="S25"/>
      <c r="T25"/>
      <c r="U25"/>
      <c r="V25"/>
      <c r="W25"/>
      <c r="X25"/>
    </row>
    <row r="26" spans="1:24" ht="12.75">
      <c r="A26" s="44"/>
      <c r="B26" s="44"/>
      <c r="C26" s="44"/>
      <c r="D26" s="77"/>
      <c r="E26" s="260" t="s">
        <v>178</v>
      </c>
      <c r="F26" s="260"/>
      <c r="G26" s="260" t="s">
        <v>179</v>
      </c>
      <c r="H26" s="260"/>
      <c r="I26" s="44"/>
      <c r="J26" s="44"/>
      <c r="K26" s="44"/>
      <c r="L26" s="260" t="s">
        <v>178</v>
      </c>
      <c r="M26" s="260"/>
      <c r="N26" s="260" t="s">
        <v>179</v>
      </c>
      <c r="O26" s="260"/>
      <c r="P26" s="44"/>
      <c r="Q26" s="44"/>
      <c r="S26"/>
      <c r="T26"/>
      <c r="U26"/>
      <c r="V26"/>
      <c r="W26"/>
      <c r="X26"/>
    </row>
    <row r="27" spans="1:24" ht="12.75">
      <c r="A27" s="44"/>
      <c r="B27" s="44"/>
      <c r="C27" s="44"/>
      <c r="D27" s="77"/>
      <c r="E27" s="260" t="s">
        <v>251</v>
      </c>
      <c r="F27" s="260"/>
      <c r="G27" s="260" t="s">
        <v>251</v>
      </c>
      <c r="H27" s="260"/>
      <c r="I27" s="260" t="s">
        <v>93</v>
      </c>
      <c r="J27" s="44"/>
      <c r="K27" s="44"/>
      <c r="L27" s="260" t="s">
        <v>251</v>
      </c>
      <c r="M27" s="260"/>
      <c r="N27" s="260" t="s">
        <v>251</v>
      </c>
      <c r="O27" s="260"/>
      <c r="P27" s="260" t="s">
        <v>93</v>
      </c>
      <c r="Q27" s="44"/>
      <c r="S27"/>
      <c r="T27"/>
      <c r="U27"/>
      <c r="V27"/>
      <c r="W27"/>
      <c r="X27"/>
    </row>
    <row r="28" spans="1:24" ht="12.75">
      <c r="A28" s="44"/>
      <c r="B28" s="44"/>
      <c r="C28" s="44"/>
      <c r="D28" s="44"/>
      <c r="E28" s="62" t="s">
        <v>257</v>
      </c>
      <c r="F28" s="62"/>
      <c r="G28" s="62" t="s">
        <v>253</v>
      </c>
      <c r="H28" s="62"/>
      <c r="I28" s="62" t="s">
        <v>180</v>
      </c>
      <c r="J28" s="44"/>
      <c r="K28" s="44"/>
      <c r="L28" s="62" t="s">
        <v>257</v>
      </c>
      <c r="M28" s="62"/>
      <c r="N28" s="62" t="s">
        <v>253</v>
      </c>
      <c r="O28" s="62"/>
      <c r="P28" s="62" t="s">
        <v>180</v>
      </c>
      <c r="Q28" s="44"/>
      <c r="S28"/>
      <c r="T28"/>
      <c r="U28"/>
      <c r="V28"/>
      <c r="W28"/>
      <c r="X28"/>
    </row>
    <row r="29" spans="1:24" ht="4.5" customHeight="1">
      <c r="A29" s="44"/>
      <c r="B29" s="44"/>
      <c r="C29" s="44"/>
      <c r="D29" s="44"/>
      <c r="E29" s="44"/>
      <c r="F29" s="44"/>
      <c r="G29" s="64"/>
      <c r="H29" s="64"/>
      <c r="I29" s="44"/>
      <c r="J29" s="44"/>
      <c r="K29" s="44"/>
      <c r="L29" s="44"/>
      <c r="M29" s="44"/>
      <c r="N29" s="64"/>
      <c r="O29" s="64"/>
      <c r="P29" s="44"/>
      <c r="Q29" s="44"/>
      <c r="S29"/>
      <c r="T29"/>
      <c r="U29"/>
      <c r="V29"/>
      <c r="W29"/>
      <c r="X29"/>
    </row>
    <row r="30" spans="1:25" ht="12.75">
      <c r="A30" s="44"/>
      <c r="B30" s="44"/>
      <c r="C30" s="231"/>
      <c r="D30" s="44"/>
      <c r="E30" s="456"/>
      <c r="F30" s="144"/>
      <c r="G30" s="456"/>
      <c r="H30" s="144"/>
      <c r="I30" s="456"/>
      <c r="J30" s="44"/>
      <c r="K30" s="44"/>
      <c r="L30" s="456"/>
      <c r="M30" s="144"/>
      <c r="N30" s="456"/>
      <c r="O30" s="144"/>
      <c r="P30" s="456"/>
      <c r="Q30" s="44"/>
      <c r="R30" s="7"/>
      <c r="S30"/>
      <c r="T30"/>
      <c r="U30"/>
      <c r="V30"/>
      <c r="W30"/>
      <c r="X30"/>
      <c r="Y30" s="7"/>
    </row>
    <row r="31" spans="1:29" ht="12.75" customHeight="1">
      <c r="A31" s="44"/>
      <c r="B31" s="44"/>
      <c r="C31" s="44" t="s">
        <v>85</v>
      </c>
      <c r="D31" s="44"/>
      <c r="E31" s="33">
        <v>-77</v>
      </c>
      <c r="F31" s="47"/>
      <c r="G31" s="47">
        <v>-107</v>
      </c>
      <c r="H31" s="60"/>
      <c r="I31" s="33">
        <f>+E31+G31</f>
        <v>-184</v>
      </c>
      <c r="J31" s="44"/>
      <c r="K31" s="44"/>
      <c r="L31" s="33">
        <v>-45</v>
      </c>
      <c r="M31" s="47"/>
      <c r="N31" s="47">
        <v>-447</v>
      </c>
      <c r="O31" s="60"/>
      <c r="P31" s="33">
        <f>+L31+N31</f>
        <v>-492</v>
      </c>
      <c r="Q31" s="44"/>
      <c r="R31" s="340"/>
      <c r="S31"/>
      <c r="T31"/>
      <c r="U31"/>
      <c r="V31"/>
      <c r="W31"/>
      <c r="X31"/>
      <c r="Y31" s="65"/>
      <c r="Z31" s="65"/>
      <c r="AA31" s="65"/>
      <c r="AB31" s="65"/>
      <c r="AC31" s="65"/>
    </row>
    <row r="32" spans="1:29" ht="12.75" customHeight="1">
      <c r="A32" s="44"/>
      <c r="B32" s="44"/>
      <c r="C32" s="44" t="s">
        <v>86</v>
      </c>
      <c r="D32" s="44"/>
      <c r="E32" s="349">
        <v>18</v>
      </c>
      <c r="F32" s="349"/>
      <c r="G32" s="349">
        <v>1</v>
      </c>
      <c r="H32" s="55"/>
      <c r="I32" s="65">
        <f>+E32+G32</f>
        <v>19</v>
      </c>
      <c r="J32" s="44"/>
      <c r="K32" s="44"/>
      <c r="L32" s="349">
        <v>76</v>
      </c>
      <c r="M32" s="349"/>
      <c r="N32" s="349">
        <v>23</v>
      </c>
      <c r="O32" s="55"/>
      <c r="P32" s="65">
        <f>+L32+N32</f>
        <v>99</v>
      </c>
      <c r="Q32" s="44"/>
      <c r="R32" s="7"/>
      <c r="S32"/>
      <c r="T32"/>
      <c r="U32"/>
      <c r="V32"/>
      <c r="W32"/>
      <c r="X32"/>
      <c r="Y32" s="65"/>
      <c r="Z32" s="65"/>
      <c r="AA32" s="65"/>
      <c r="AB32" s="65"/>
      <c r="AC32" s="65"/>
    </row>
    <row r="33" spans="1:29" ht="12.75" customHeight="1">
      <c r="A33" s="44"/>
      <c r="B33" s="44"/>
      <c r="C33" s="44" t="s">
        <v>184</v>
      </c>
      <c r="D33" s="44"/>
      <c r="E33" s="349">
        <v>14</v>
      </c>
      <c r="F33" s="349"/>
      <c r="G33" s="349">
        <v>0</v>
      </c>
      <c r="H33" s="407"/>
      <c r="I33" s="65">
        <f>+E33+G33</f>
        <v>14</v>
      </c>
      <c r="J33" s="44"/>
      <c r="K33" s="44"/>
      <c r="L33" s="349">
        <v>12</v>
      </c>
      <c r="M33" s="349"/>
      <c r="N33" s="349">
        <v>0</v>
      </c>
      <c r="O33" s="407"/>
      <c r="P33" s="65">
        <f>+L33+N33</f>
        <v>12</v>
      </c>
      <c r="Q33" s="44"/>
      <c r="R33" s="7"/>
      <c r="S33"/>
      <c r="T33"/>
      <c r="U33"/>
      <c r="V33"/>
      <c r="W33"/>
      <c r="X33"/>
      <c r="Y33" s="65"/>
      <c r="Z33" s="65"/>
      <c r="AA33" s="65"/>
      <c r="AB33" s="65"/>
      <c r="AC33" s="65"/>
    </row>
    <row r="34" spans="1:29" ht="12.75" customHeight="1">
      <c r="A34" s="44"/>
      <c r="B34" s="44"/>
      <c r="C34" s="44" t="s">
        <v>204</v>
      </c>
      <c r="D34" s="44"/>
      <c r="E34" s="349">
        <v>2</v>
      </c>
      <c r="F34" s="349"/>
      <c r="G34" s="349">
        <v>0</v>
      </c>
      <c r="H34" s="407"/>
      <c r="I34" s="65">
        <f>+E34+G34</f>
        <v>2</v>
      </c>
      <c r="J34" s="44"/>
      <c r="K34" s="44"/>
      <c r="L34" s="349">
        <v>0</v>
      </c>
      <c r="M34" s="349"/>
      <c r="N34" s="349">
        <v>0</v>
      </c>
      <c r="O34" s="407"/>
      <c r="P34" s="65">
        <f>+L34+N34</f>
        <v>0</v>
      </c>
      <c r="Q34" s="44"/>
      <c r="R34" s="7"/>
      <c r="S34"/>
      <c r="T34"/>
      <c r="U34"/>
      <c r="V34"/>
      <c r="W34"/>
      <c r="X34"/>
      <c r="Y34" s="65"/>
      <c r="Z34" s="65"/>
      <c r="AA34" s="65"/>
      <c r="AB34" s="65"/>
      <c r="AC34" s="65"/>
    </row>
    <row r="35" spans="1:29" ht="12.75" customHeight="1">
      <c r="A35" s="44"/>
      <c r="B35" s="44"/>
      <c r="C35" s="44" t="s">
        <v>148</v>
      </c>
      <c r="D35" s="44"/>
      <c r="E35" s="261">
        <v>-1</v>
      </c>
      <c r="F35" s="261"/>
      <c r="G35" s="261">
        <v>7</v>
      </c>
      <c r="H35" s="261"/>
      <c r="I35" s="234">
        <f>+E35+G35</f>
        <v>6</v>
      </c>
      <c r="J35" s="44"/>
      <c r="K35" s="44"/>
      <c r="L35" s="261">
        <v>4</v>
      </c>
      <c r="M35" s="261"/>
      <c r="N35" s="261">
        <v>38</v>
      </c>
      <c r="O35" s="261"/>
      <c r="P35" s="234">
        <f>+L35+N35</f>
        <v>42</v>
      </c>
      <c r="Q35" s="44"/>
      <c r="R35" s="7"/>
      <c r="S35"/>
      <c r="T35"/>
      <c r="U35"/>
      <c r="V35"/>
      <c r="W35"/>
      <c r="X35"/>
      <c r="Y35" s="65"/>
      <c r="Z35" s="65"/>
      <c r="AA35" s="65"/>
      <c r="AB35" s="65"/>
      <c r="AC35" s="65"/>
    </row>
    <row r="36" spans="1:29" ht="12.75" customHeight="1">
      <c r="A36" s="44"/>
      <c r="B36" s="44"/>
      <c r="C36" s="369" t="s">
        <v>254</v>
      </c>
      <c r="D36" s="44"/>
      <c r="E36" s="55">
        <f>SUM(E31:E35)</f>
        <v>-44</v>
      </c>
      <c r="F36" s="55"/>
      <c r="G36" s="55">
        <f>SUM(G31:G35)</f>
        <v>-99</v>
      </c>
      <c r="H36" s="229"/>
      <c r="I36" s="229">
        <f>SUM(I31:I35)</f>
        <v>-143</v>
      </c>
      <c r="J36" s="33"/>
      <c r="K36" s="44"/>
      <c r="L36" s="55">
        <f>SUM(L31:L35)</f>
        <v>47</v>
      </c>
      <c r="M36" s="55"/>
      <c r="N36" s="55">
        <f>SUM(N31:N35)</f>
        <v>-386</v>
      </c>
      <c r="O36" s="229"/>
      <c r="P36" s="229">
        <f>SUM(P31:P35)</f>
        <v>-339</v>
      </c>
      <c r="Q36" s="44"/>
      <c r="R36" s="7"/>
      <c r="S36"/>
      <c r="T36"/>
      <c r="U36"/>
      <c r="V36"/>
      <c r="W36"/>
      <c r="X36"/>
      <c r="Y36" s="65"/>
      <c r="Z36" s="65"/>
      <c r="AA36" s="65"/>
      <c r="AB36" s="65"/>
      <c r="AC36" s="65"/>
    </row>
    <row r="37" spans="1:29" ht="12.75" customHeight="1">
      <c r="A37" s="44"/>
      <c r="B37" s="44"/>
      <c r="C37" s="369" t="s">
        <v>14</v>
      </c>
      <c r="D37" s="44"/>
      <c r="E37" s="408">
        <v>19</v>
      </c>
      <c r="F37" s="348"/>
      <c r="G37" s="348">
        <v>0</v>
      </c>
      <c r="H37" s="348"/>
      <c r="I37" s="234">
        <f>+E37+G37</f>
        <v>19</v>
      </c>
      <c r="J37" s="44"/>
      <c r="K37" s="44"/>
      <c r="L37" s="408">
        <v>29</v>
      </c>
      <c r="M37" s="348"/>
      <c r="N37" s="348">
        <v>0</v>
      </c>
      <c r="O37" s="348"/>
      <c r="P37" s="234">
        <f>+L37+N37</f>
        <v>29</v>
      </c>
      <c r="Q37" s="44"/>
      <c r="R37" s="7"/>
      <c r="S37"/>
      <c r="T37"/>
      <c r="U37"/>
      <c r="V37"/>
      <c r="W37"/>
      <c r="X37"/>
      <c r="Y37" s="65"/>
      <c r="Z37" s="65"/>
      <c r="AA37" s="65"/>
      <c r="AB37" s="65"/>
      <c r="AC37" s="65"/>
    </row>
    <row r="38" spans="1:29" ht="12.75" customHeight="1">
      <c r="A38" s="44"/>
      <c r="B38" s="44"/>
      <c r="C38" s="369" t="s">
        <v>206</v>
      </c>
      <c r="D38" s="35"/>
      <c r="E38" s="229">
        <f>SUM(E36:E37)</f>
        <v>-25</v>
      </c>
      <c r="F38" s="262"/>
      <c r="G38" s="262">
        <f>SUM(G36:G37)</f>
        <v>-99</v>
      </c>
      <c r="H38" s="262"/>
      <c r="I38" s="229">
        <f>SUM(I36:I37)</f>
        <v>-124</v>
      </c>
      <c r="J38" s="370"/>
      <c r="K38" s="35"/>
      <c r="L38" s="229">
        <f>SUM(L36:L37)</f>
        <v>76</v>
      </c>
      <c r="M38" s="262"/>
      <c r="N38" s="262">
        <f>SUM(N36:N37)</f>
        <v>-386</v>
      </c>
      <c r="O38" s="262"/>
      <c r="P38" s="229">
        <f>SUM(P36:P37)</f>
        <v>-310</v>
      </c>
      <c r="Q38" s="44"/>
      <c r="R38" s="185"/>
      <c r="S38"/>
      <c r="T38"/>
      <c r="U38"/>
      <c r="V38"/>
      <c r="W38"/>
      <c r="X38"/>
      <c r="Y38" s="65"/>
      <c r="Z38" s="65"/>
      <c r="AA38" s="65"/>
      <c r="AB38" s="65"/>
      <c r="AC38" s="65"/>
    </row>
    <row r="39" spans="1:29" ht="12.75" customHeight="1">
      <c r="A39" s="44"/>
      <c r="B39" s="44"/>
      <c r="C39" s="369" t="s">
        <v>158</v>
      </c>
      <c r="D39" s="44"/>
      <c r="E39" s="348">
        <v>-17</v>
      </c>
      <c r="F39" s="262"/>
      <c r="G39" s="262">
        <v>-15</v>
      </c>
      <c r="H39" s="262"/>
      <c r="I39" s="234">
        <f>+E39+G39</f>
        <v>-32</v>
      </c>
      <c r="J39" s="44"/>
      <c r="K39" s="44"/>
      <c r="L39" s="348">
        <v>3</v>
      </c>
      <c r="M39" s="262"/>
      <c r="N39" s="348">
        <v>-69</v>
      </c>
      <c r="O39" s="262"/>
      <c r="P39" s="234">
        <f>+L39+N39</f>
        <v>-66</v>
      </c>
      <c r="Q39" s="44"/>
      <c r="R39" s="185"/>
      <c r="S39"/>
      <c r="T39"/>
      <c r="U39"/>
      <c r="V39"/>
      <c r="W39"/>
      <c r="X39"/>
      <c r="Y39" s="65"/>
      <c r="Z39" s="65"/>
      <c r="AA39" s="65"/>
      <c r="AB39" s="65"/>
      <c r="AC39" s="65"/>
    </row>
    <row r="40" spans="1:29" ht="12.75" customHeight="1" thickBot="1">
      <c r="A40" s="44"/>
      <c r="B40" s="44"/>
      <c r="C40" s="369" t="s">
        <v>256</v>
      </c>
      <c r="D40" s="44"/>
      <c r="E40" s="198">
        <f>+E38-E39</f>
        <v>-8</v>
      </c>
      <c r="F40" s="217"/>
      <c r="G40" s="198">
        <f>+G38-G39</f>
        <v>-84</v>
      </c>
      <c r="H40" s="217"/>
      <c r="I40" s="198">
        <f>+I38-I39</f>
        <v>-92</v>
      </c>
      <c r="J40" s="44"/>
      <c r="K40" s="44"/>
      <c r="L40" s="198">
        <f>+L38-L39</f>
        <v>73</v>
      </c>
      <c r="M40" s="217"/>
      <c r="N40" s="198">
        <f>+N38-N39</f>
        <v>-317</v>
      </c>
      <c r="O40" s="217"/>
      <c r="P40" s="198">
        <f>+P38-P39</f>
        <v>-244</v>
      </c>
      <c r="Q40" s="44"/>
      <c r="R40" s="185"/>
      <c r="S40"/>
      <c r="T40"/>
      <c r="U40"/>
      <c r="V40"/>
      <c r="W40"/>
      <c r="X40"/>
      <c r="Y40" s="65"/>
      <c r="Z40" s="65"/>
      <c r="AA40" s="65"/>
      <c r="AB40" s="65"/>
      <c r="AC40" s="65"/>
    </row>
    <row r="41" spans="1:25" ht="13.5" thickTop="1">
      <c r="A41" s="44"/>
      <c r="B41" s="44"/>
      <c r="C41" s="44"/>
      <c r="D41" s="44"/>
      <c r="E41" s="44"/>
      <c r="F41" s="44"/>
      <c r="G41" s="64"/>
      <c r="H41" s="64"/>
      <c r="I41" s="44"/>
      <c r="J41" s="44"/>
      <c r="K41" s="44"/>
      <c r="L41" s="77"/>
      <c r="M41" s="144"/>
      <c r="N41" s="77"/>
      <c r="O41" s="77"/>
      <c r="P41" s="77"/>
      <c r="Q41" s="44"/>
      <c r="R41" s="185"/>
      <c r="S41"/>
      <c r="T41"/>
      <c r="U41"/>
      <c r="V41"/>
      <c r="W41"/>
      <c r="X41"/>
      <c r="Y41" s="7"/>
    </row>
    <row r="42" spans="3:25" s="243" customFormat="1" ht="18.75" customHeight="1">
      <c r="C42" s="637" t="s">
        <v>450</v>
      </c>
      <c r="D42" s="638"/>
      <c r="E42" s="638"/>
      <c r="F42" s="638"/>
      <c r="G42" s="638"/>
      <c r="H42" s="638"/>
      <c r="I42" s="638"/>
      <c r="J42" s="638"/>
      <c r="K42" s="638"/>
      <c r="L42" s="638"/>
      <c r="M42" s="638"/>
      <c r="N42" s="638"/>
      <c r="O42" s="638"/>
      <c r="P42" s="638"/>
      <c r="R42" s="185"/>
      <c r="S42"/>
      <c r="T42"/>
      <c r="U42"/>
      <c r="V42"/>
      <c r="W42"/>
      <c r="X42"/>
      <c r="Y42" s="459"/>
    </row>
    <row r="43" spans="18:25" ht="11.25">
      <c r="R43" s="7"/>
      <c r="S43" s="7"/>
      <c r="T43" s="7"/>
      <c r="U43" s="7"/>
      <c r="V43" s="7"/>
      <c r="W43" s="7"/>
      <c r="X43" s="7"/>
      <c r="Y43" s="7"/>
    </row>
    <row r="64" spans="7:14" ht="11.25">
      <c r="G64" s="24">
        <f>+G19</f>
        <v>126</v>
      </c>
      <c r="N64" s="1">
        <f>+N17</f>
        <v>353</v>
      </c>
    </row>
    <row r="65" spans="7:14" ht="11.25">
      <c r="G65" s="24" t="e">
        <f>+'Comprehensive Income'!H11+'Comprehensive Income'!H13+'Comprehensive Income'!#REF!</f>
        <v>#REF!</v>
      </c>
      <c r="N65" s="24" t="e">
        <f>+'Comprehensive Income'!N11+'Comprehensive Income'!N13+'Comprehensive Income'!#REF!</f>
        <v>#REF!</v>
      </c>
    </row>
    <row r="66" ht="11.25">
      <c r="N66" s="24"/>
    </row>
    <row r="67" spans="7:14" ht="11.25">
      <c r="G67" s="24">
        <f>+'Comprehensive Income'!L11+'Comprehensive Income'!L13</f>
        <v>-99</v>
      </c>
      <c r="N67" s="24">
        <f>+'Comprehensive Income'!P11+'Comprehensive Income'!P13</f>
        <v>-386</v>
      </c>
    </row>
    <row r="68" spans="7:14" ht="11.25">
      <c r="G68" s="24">
        <f>+G38</f>
        <v>-99</v>
      </c>
      <c r="N68" s="1">
        <f>+N38</f>
        <v>-386</v>
      </c>
    </row>
  </sheetData>
  <sheetProtection objects="1"/>
  <mergeCells count="6">
    <mergeCell ref="A1:Q1"/>
    <mergeCell ref="A2:Q2"/>
    <mergeCell ref="C42:P42"/>
    <mergeCell ref="C23:P23"/>
    <mergeCell ref="A3:Q3"/>
    <mergeCell ref="A4:Q4"/>
  </mergeCells>
  <printOptions/>
  <pageMargins left="0.5" right="0.5" top="0.5" bottom="0.5" header="0.75" footer="0.25"/>
  <pageSetup horizontalDpi="600" verticalDpi="600" orientation="landscape" r:id="rId2"/>
  <headerFooter alignWithMargins="0">
    <oddFooter>&amp;L&amp;A&amp;R&amp;"Arial,Regular"&amp;8Page 22</oddFooter>
  </headerFooter>
  <drawing r:id="rId1"/>
</worksheet>
</file>

<file path=xl/worksheets/sheet25.xml><?xml version="1.0" encoding="utf-8"?>
<worksheet xmlns="http://schemas.openxmlformats.org/spreadsheetml/2006/main" xmlns:r="http://schemas.openxmlformats.org/officeDocument/2006/relationships">
  <sheetPr codeName="Sheet27"/>
  <dimension ref="A1:U34"/>
  <sheetViews>
    <sheetView workbookViewId="0" topLeftCell="A1">
      <selection activeCell="A5" sqref="A5"/>
    </sheetView>
  </sheetViews>
  <sheetFormatPr defaultColWidth="9.33203125" defaultRowHeight="12.75"/>
  <cols>
    <col min="1" max="1" width="2.83203125" style="1" customWidth="1"/>
    <col min="2" max="2" width="3.16015625" style="1" customWidth="1"/>
    <col min="3" max="3" width="39.66015625" style="1" customWidth="1"/>
    <col min="4" max="4" width="13.83203125" style="1" customWidth="1"/>
    <col min="5" max="5" width="2.83203125" style="1" customWidth="1"/>
    <col min="6" max="6" width="13.83203125" style="1" customWidth="1"/>
    <col min="7" max="7" width="2.83203125" style="1" customWidth="1"/>
    <col min="8" max="8" width="13.83203125" style="1" customWidth="1"/>
    <col min="9" max="9" width="2.83203125" style="1" customWidth="1"/>
    <col min="10" max="10" width="13.83203125" style="1" customWidth="1"/>
    <col min="11" max="11" width="2.83203125" style="1" customWidth="1"/>
    <col min="12" max="12" width="13.83203125" style="1" customWidth="1"/>
    <col min="13" max="13" width="2.83203125" style="1" customWidth="1"/>
    <col min="14" max="14" width="13.83203125" style="1" customWidth="1"/>
    <col min="15" max="15" width="2.83203125" style="1" customWidth="1"/>
    <col min="16" max="16" width="12.66015625" style="1" customWidth="1"/>
    <col min="17" max="20" width="8.16015625" style="1" customWidth="1"/>
    <col min="21" max="21" width="14" style="1" customWidth="1"/>
    <col min="22" max="16384" width="8.16015625" style="1" customWidth="1"/>
  </cols>
  <sheetData>
    <row r="1" spans="1:16" ht="12.75">
      <c r="A1" s="619" t="s">
        <v>96</v>
      </c>
      <c r="B1" s="619"/>
      <c r="C1" s="619"/>
      <c r="D1" s="619"/>
      <c r="E1" s="619"/>
      <c r="F1" s="619"/>
      <c r="G1" s="619"/>
      <c r="H1" s="619"/>
      <c r="I1" s="619"/>
      <c r="J1" s="619"/>
      <c r="K1" s="619"/>
      <c r="L1" s="619"/>
      <c r="M1" s="619"/>
      <c r="N1" s="619"/>
      <c r="O1" s="161"/>
      <c r="P1" s="161"/>
    </row>
    <row r="2" spans="1:16" ht="11.25" customHeight="1">
      <c r="A2" s="640" t="s">
        <v>161</v>
      </c>
      <c r="B2" s="640"/>
      <c r="C2" s="640"/>
      <c r="D2" s="640"/>
      <c r="E2" s="640"/>
      <c r="F2" s="640"/>
      <c r="G2" s="640"/>
      <c r="H2" s="640"/>
      <c r="I2" s="640"/>
      <c r="J2" s="640"/>
      <c r="K2" s="640"/>
      <c r="L2" s="640"/>
      <c r="M2" s="640"/>
      <c r="N2" s="640"/>
      <c r="O2" s="161"/>
      <c r="P2" s="161"/>
    </row>
    <row r="3" spans="1:16" ht="11.25" customHeight="1">
      <c r="A3" s="617" t="s">
        <v>154</v>
      </c>
      <c r="B3" s="617"/>
      <c r="C3" s="617"/>
      <c r="D3" s="617"/>
      <c r="E3" s="617"/>
      <c r="F3" s="617"/>
      <c r="G3" s="617"/>
      <c r="H3" s="617"/>
      <c r="I3" s="617"/>
      <c r="J3" s="617"/>
      <c r="K3" s="617"/>
      <c r="L3" s="617"/>
      <c r="M3" s="617"/>
      <c r="N3" s="617"/>
      <c r="O3" s="161"/>
      <c r="P3" s="161"/>
    </row>
    <row r="4" spans="1:16" ht="11.25" customHeight="1">
      <c r="A4" s="617" t="s">
        <v>170</v>
      </c>
      <c r="B4" s="617"/>
      <c r="C4" s="617"/>
      <c r="D4" s="617"/>
      <c r="E4" s="617"/>
      <c r="F4" s="617"/>
      <c r="G4" s="617"/>
      <c r="H4" s="617"/>
      <c r="I4" s="617"/>
      <c r="J4" s="617"/>
      <c r="K4" s="617"/>
      <c r="L4" s="617"/>
      <c r="M4" s="617"/>
      <c r="N4" s="617"/>
      <c r="O4" s="161"/>
      <c r="P4" s="161"/>
    </row>
    <row r="5" spans="3:7" ht="11.25">
      <c r="C5" s="539"/>
      <c r="D5" s="539"/>
      <c r="E5" s="539"/>
      <c r="G5" s="539"/>
    </row>
    <row r="6" spans="3:7" ht="11.25" customHeight="1">
      <c r="C6" s="538"/>
      <c r="D6" s="538"/>
      <c r="E6" s="538"/>
      <c r="G6" s="538"/>
    </row>
    <row r="7" spans="3:21" ht="11.25">
      <c r="C7" s="63"/>
      <c r="D7" s="226" t="s">
        <v>221</v>
      </c>
      <c r="E7" s="63"/>
      <c r="F7" s="226" t="s">
        <v>410</v>
      </c>
      <c r="G7" s="63"/>
      <c r="H7" s="226" t="s">
        <v>402</v>
      </c>
      <c r="I7" s="63"/>
      <c r="J7" s="226" t="s">
        <v>222</v>
      </c>
      <c r="K7" s="63"/>
      <c r="L7" s="226">
        <v>38717</v>
      </c>
      <c r="M7" s="63"/>
      <c r="N7" s="226" t="s">
        <v>221</v>
      </c>
      <c r="P7" s="226"/>
      <c r="U7" s="226">
        <v>38625</v>
      </c>
    </row>
    <row r="8" spans="3:21" ht="11.25">
      <c r="C8" s="63"/>
      <c r="D8" s="279">
        <v>2006</v>
      </c>
      <c r="E8" s="63"/>
      <c r="F8" s="279">
        <v>2006</v>
      </c>
      <c r="G8" s="63"/>
      <c r="H8" s="279">
        <v>2006</v>
      </c>
      <c r="I8" s="63"/>
      <c r="J8" s="279">
        <v>2006</v>
      </c>
      <c r="K8" s="63"/>
      <c r="L8" s="279">
        <v>2005</v>
      </c>
      <c r="M8" s="63"/>
      <c r="N8" s="279">
        <v>2004</v>
      </c>
      <c r="P8" s="279"/>
      <c r="U8" s="279" t="s">
        <v>280</v>
      </c>
    </row>
    <row r="9" spans="3:21" ht="11.25">
      <c r="C9" s="63"/>
      <c r="D9" s="346"/>
      <c r="E9" s="63"/>
      <c r="F9" s="346"/>
      <c r="G9" s="63"/>
      <c r="H9" s="346"/>
      <c r="I9" s="63"/>
      <c r="J9" s="346"/>
      <c r="K9" s="63"/>
      <c r="L9" s="346"/>
      <c r="M9" s="63"/>
      <c r="N9" s="170"/>
      <c r="P9" s="124"/>
      <c r="U9" s="346"/>
    </row>
    <row r="10" spans="3:21" ht="11.25">
      <c r="C10" s="63" t="s">
        <v>84</v>
      </c>
      <c r="D10" s="255">
        <f>'Consol Bal Sheet'!E38</f>
        <v>578</v>
      </c>
      <c r="E10" s="63"/>
      <c r="F10" s="255">
        <f>'Consol Bal Sheet'!G38</f>
        <v>500</v>
      </c>
      <c r="G10" s="63"/>
      <c r="H10" s="255">
        <f>'Consol Bal Sheet'!I38</f>
        <v>800</v>
      </c>
      <c r="I10" s="63"/>
      <c r="J10" s="255">
        <f>'Consol Bal Sheet'!K38</f>
        <v>300</v>
      </c>
      <c r="K10" s="63"/>
      <c r="L10" s="255">
        <f>'Consol Bal Sheet'!M38</f>
        <v>300</v>
      </c>
      <c r="M10" s="63"/>
      <c r="N10" s="255">
        <v>146</v>
      </c>
      <c r="P10" s="255"/>
      <c r="U10" s="255">
        <v>446</v>
      </c>
    </row>
    <row r="11" spans="3:21" ht="11.25">
      <c r="C11" s="225" t="s">
        <v>267</v>
      </c>
      <c r="D11" s="349">
        <f>'Consol Bal Sheet'!E39</f>
        <v>1560</v>
      </c>
      <c r="E11" s="225"/>
      <c r="F11" s="349">
        <f>'Consol Bal Sheet'!G39</f>
        <v>1632</v>
      </c>
      <c r="G11" s="225"/>
      <c r="H11" s="349">
        <f>'Consol Bal Sheet'!I39</f>
        <v>1620</v>
      </c>
      <c r="I11" s="225"/>
      <c r="J11" s="349">
        <f>'Consol Bal Sheet'!K39</f>
        <v>1812</v>
      </c>
      <c r="K11" s="225"/>
      <c r="L11" s="349">
        <f>'Consol Bal Sheet'!M39</f>
        <v>1811</v>
      </c>
      <c r="M11" s="225"/>
      <c r="N11" s="405">
        <v>1849</v>
      </c>
      <c r="P11" s="405"/>
      <c r="U11" s="349">
        <v>1564</v>
      </c>
    </row>
    <row r="12" spans="3:21" ht="12" thickBot="1">
      <c r="C12" s="224" t="s">
        <v>11</v>
      </c>
      <c r="D12" s="544">
        <f>+D10+D11</f>
        <v>2138</v>
      </c>
      <c r="E12" s="224"/>
      <c r="F12" s="544">
        <f>+F10+F11</f>
        <v>2132</v>
      </c>
      <c r="G12" s="224"/>
      <c r="H12" s="544">
        <f>+H10+H11</f>
        <v>2420</v>
      </c>
      <c r="I12" s="224"/>
      <c r="J12" s="544">
        <f>+J10+J11</f>
        <v>2112</v>
      </c>
      <c r="K12" s="224"/>
      <c r="L12" s="544">
        <f>+L10+L11</f>
        <v>2111</v>
      </c>
      <c r="M12" s="224"/>
      <c r="N12" s="544">
        <f>+N10+N11</f>
        <v>1995</v>
      </c>
      <c r="P12" s="365"/>
      <c r="U12" s="265">
        <v>2010</v>
      </c>
    </row>
    <row r="13" spans="3:21" ht="12" thickTop="1">
      <c r="C13" s="225"/>
      <c r="D13" s="365"/>
      <c r="E13" s="225"/>
      <c r="F13" s="365"/>
      <c r="G13" s="225"/>
      <c r="H13" s="365"/>
      <c r="I13" s="225"/>
      <c r="J13" s="365"/>
      <c r="K13" s="225"/>
      <c r="L13" s="365"/>
      <c r="M13" s="225"/>
      <c r="N13" s="365"/>
      <c r="P13" s="365"/>
      <c r="U13" s="365"/>
    </row>
    <row r="14" spans="3:21" ht="13.5" customHeight="1" thickBot="1">
      <c r="C14" s="224" t="s">
        <v>258</v>
      </c>
      <c r="D14" s="545">
        <f>'Consol Bal Sheet'!E40</f>
        <v>309</v>
      </c>
      <c r="E14" s="224"/>
      <c r="F14" s="545">
        <f>'Consol Bal Sheet'!G40</f>
        <v>309</v>
      </c>
      <c r="G14" s="224"/>
      <c r="H14" s="545">
        <f>'Consol Bal Sheet'!I40</f>
        <v>309</v>
      </c>
      <c r="I14" s="224"/>
      <c r="J14" s="545">
        <f>'Consol Bal Sheet'!K40</f>
        <v>309</v>
      </c>
      <c r="K14" s="224"/>
      <c r="L14" s="545">
        <f>'Consol Bal Sheet'!M40</f>
        <v>309</v>
      </c>
      <c r="M14" s="224"/>
      <c r="N14" s="545">
        <v>412</v>
      </c>
      <c r="P14" s="365"/>
      <c r="U14" s="365">
        <v>412</v>
      </c>
    </row>
    <row r="15" spans="3:21" ht="12" thickTop="1">
      <c r="C15" s="225"/>
      <c r="D15" s="365"/>
      <c r="E15" s="225"/>
      <c r="F15" s="365"/>
      <c r="G15" s="225"/>
      <c r="H15" s="365"/>
      <c r="I15" s="225"/>
      <c r="J15" s="365"/>
      <c r="K15" s="225"/>
      <c r="L15" s="365"/>
      <c r="M15" s="225"/>
      <c r="N15" s="365"/>
      <c r="P15" s="365"/>
      <c r="U15" s="365"/>
    </row>
    <row r="16" spans="3:21" ht="12.75" customHeight="1">
      <c r="C16" s="225" t="s">
        <v>283</v>
      </c>
      <c r="D16" s="365">
        <v>557</v>
      </c>
      <c r="E16" s="225"/>
      <c r="F16" s="365">
        <v>557</v>
      </c>
      <c r="G16" s="225"/>
      <c r="H16" s="365">
        <v>557</v>
      </c>
      <c r="I16" s="225"/>
      <c r="J16" s="365">
        <v>557</v>
      </c>
      <c r="K16" s="225"/>
      <c r="L16" s="365">
        <v>557</v>
      </c>
      <c r="M16" s="225"/>
      <c r="N16" s="365">
        <v>557</v>
      </c>
      <c r="P16" s="365"/>
      <c r="U16" s="365">
        <v>557</v>
      </c>
    </row>
    <row r="17" spans="3:21" ht="12.75" customHeight="1">
      <c r="C17" s="225" t="s">
        <v>234</v>
      </c>
      <c r="D17" s="406">
        <f>'Consol Bal Sheet'!E46-'Capital Structure'!D16</f>
        <v>13721</v>
      </c>
      <c r="E17" s="225"/>
      <c r="F17" s="406">
        <f>'Consol Bal Sheet'!G46-'Capital Structure'!F16</f>
        <v>12954</v>
      </c>
      <c r="G17" s="225"/>
      <c r="H17" s="406">
        <f>'Consol Bal Sheet'!I46-'Capital Structure'!H16</f>
        <v>11909</v>
      </c>
      <c r="I17" s="225"/>
      <c r="J17" s="406">
        <f>'Consol Bal Sheet'!K46-'Capital Structure'!J16</f>
        <v>11600</v>
      </c>
      <c r="K17" s="225"/>
      <c r="L17" s="406">
        <f>'Consol Bal Sheet'!M46-'Capital Structure'!L16</f>
        <v>11255</v>
      </c>
      <c r="M17" s="225"/>
      <c r="N17" s="406">
        <f>9845-557</f>
        <v>9288</v>
      </c>
      <c r="P17" s="406"/>
      <c r="U17" s="406">
        <v>9672</v>
      </c>
    </row>
    <row r="18" spans="3:21" ht="12.75" customHeight="1" thickBot="1">
      <c r="C18" s="225" t="s">
        <v>73</v>
      </c>
      <c r="D18" s="217">
        <f>SUM(D16:D17)</f>
        <v>14278</v>
      </c>
      <c r="E18" s="225"/>
      <c r="F18" s="217">
        <f>SUM(F16:F17)</f>
        <v>13511</v>
      </c>
      <c r="G18" s="225"/>
      <c r="H18" s="217">
        <f>SUM(H16:H17)</f>
        <v>12466</v>
      </c>
      <c r="I18" s="225"/>
      <c r="J18" s="217">
        <f>SUM(J16:J17)</f>
        <v>12157</v>
      </c>
      <c r="K18" s="225"/>
      <c r="L18" s="217">
        <f>SUM(L16:L17)</f>
        <v>11812</v>
      </c>
      <c r="M18" s="225"/>
      <c r="N18" s="217">
        <f>SUM(N16:N17)</f>
        <v>9845</v>
      </c>
      <c r="P18" s="218"/>
      <c r="U18" s="217">
        <v>10229</v>
      </c>
    </row>
    <row r="19" spans="3:21" ht="12" thickTop="1">
      <c r="C19" s="63"/>
      <c r="D19" s="64"/>
      <c r="E19" s="63"/>
      <c r="F19" s="64"/>
      <c r="G19" s="63"/>
      <c r="H19" s="64"/>
      <c r="I19" s="63"/>
      <c r="J19" s="64"/>
      <c r="K19" s="63"/>
      <c r="L19" s="64"/>
      <c r="M19" s="63"/>
      <c r="N19" s="64"/>
      <c r="P19" s="144"/>
      <c r="U19" s="64"/>
    </row>
    <row r="20" spans="3:21" ht="12.75" customHeight="1">
      <c r="C20" s="63" t="s">
        <v>89</v>
      </c>
      <c r="D20" s="255">
        <f>+D18+D14+D11+D10</f>
        <v>16725</v>
      </c>
      <c r="E20" s="63"/>
      <c r="F20" s="255">
        <f>+F18+F14+F11+F10</f>
        <v>15952</v>
      </c>
      <c r="G20" s="63"/>
      <c r="H20" s="255">
        <f>+H18+H14+H11+H10</f>
        <v>15195</v>
      </c>
      <c r="I20" s="63"/>
      <c r="J20" s="255">
        <f>+J18+J14+J11+J10</f>
        <v>14578</v>
      </c>
      <c r="K20" s="63"/>
      <c r="L20" s="255">
        <f>+L18+L14+L11+L10</f>
        <v>14232</v>
      </c>
      <c r="M20" s="63"/>
      <c r="N20" s="255">
        <f>+N18+N14+N11+N10</f>
        <v>12252</v>
      </c>
      <c r="P20" s="255"/>
      <c r="U20" s="255">
        <v>12651</v>
      </c>
    </row>
    <row r="21" spans="3:21" ht="11.25">
      <c r="C21" s="63" t="s">
        <v>284</v>
      </c>
      <c r="D21" s="255">
        <f>'Consol Bal Sheet'!E46-'Consol Bal Sheet'!E22</f>
        <v>11547</v>
      </c>
      <c r="E21" s="63"/>
      <c r="F21" s="255">
        <f>'Consol Bal Sheet'!G46-'Consol Bal Sheet'!G22</f>
        <v>10856</v>
      </c>
      <c r="G21" s="63"/>
      <c r="H21" s="255">
        <f>'Consol Bal Sheet'!I46-'Consol Bal Sheet'!I22</f>
        <v>9763</v>
      </c>
      <c r="I21" s="63"/>
      <c r="J21" s="255">
        <f>'Consol Bal Sheet'!K46-'Consol Bal Sheet'!K22</f>
        <v>9454</v>
      </c>
      <c r="K21" s="63"/>
      <c r="L21" s="255">
        <f>'Consol Bal Sheet'!M46-'Consol Bal Sheet'!M22</f>
        <v>9109</v>
      </c>
      <c r="M21" s="63"/>
      <c r="N21" s="255">
        <f>+N18-2700</f>
        <v>7145</v>
      </c>
      <c r="P21" s="255"/>
      <c r="U21" s="255">
        <v>7526</v>
      </c>
    </row>
    <row r="22" spans="3:21" ht="9.75" customHeight="1">
      <c r="C22" s="24"/>
      <c r="D22" s="64"/>
      <c r="E22" s="24"/>
      <c r="F22" s="64"/>
      <c r="G22" s="24"/>
      <c r="H22" s="64"/>
      <c r="I22" s="24"/>
      <c r="J22" s="64"/>
      <c r="K22" s="24"/>
      <c r="L22" s="64"/>
      <c r="M22" s="24"/>
      <c r="N22" s="64"/>
      <c r="O22" s="64"/>
      <c r="P22" s="144"/>
      <c r="U22" s="64"/>
    </row>
    <row r="23" spans="3:21" ht="11.25">
      <c r="C23" s="197" t="s">
        <v>52</v>
      </c>
      <c r="D23" s="144"/>
      <c r="E23" s="197"/>
      <c r="F23" s="144"/>
      <c r="G23" s="197"/>
      <c r="H23" s="144"/>
      <c r="I23" s="197"/>
      <c r="J23" s="144"/>
      <c r="K23" s="197"/>
      <c r="L23" s="144"/>
      <c r="M23" s="197"/>
      <c r="N23" s="144"/>
      <c r="O23" s="144"/>
      <c r="P23" s="144"/>
      <c r="U23" s="144"/>
    </row>
    <row r="24" spans="3:21" ht="11.25">
      <c r="C24" s="63" t="s">
        <v>208</v>
      </c>
      <c r="D24" s="58">
        <f>+D12/D20</f>
        <v>0.12783258594917787</v>
      </c>
      <c r="E24" s="63"/>
      <c r="F24" s="58">
        <f>+F12/F20</f>
        <v>0.13365095285857573</v>
      </c>
      <c r="G24" s="63"/>
      <c r="H24" s="58">
        <f>+H12/H20</f>
        <v>0.15926291543270812</v>
      </c>
      <c r="I24" s="63"/>
      <c r="J24" s="58">
        <f>+J12/J20</f>
        <v>0.14487584030731238</v>
      </c>
      <c r="K24" s="63"/>
      <c r="L24" s="58">
        <f>+L12/L20</f>
        <v>0.14832771219786398</v>
      </c>
      <c r="M24" s="63"/>
      <c r="N24" s="58">
        <f>+N12/N20</f>
        <v>0.1628305582761998</v>
      </c>
      <c r="O24" s="58"/>
      <c r="P24" s="58"/>
      <c r="U24" s="58">
        <v>0.1588807208916291</v>
      </c>
    </row>
    <row r="25" spans="3:21" ht="11.25" customHeight="1">
      <c r="C25" s="63" t="s">
        <v>51</v>
      </c>
      <c r="D25" s="58">
        <f>(D12+D14)/D20</f>
        <v>0.14630792227204784</v>
      </c>
      <c r="E25" s="63"/>
      <c r="F25" s="58">
        <f>(F12+F14)/F20</f>
        <v>0.15302156469408223</v>
      </c>
      <c r="G25" s="63"/>
      <c r="H25" s="58">
        <f>(H12+H14)/H20</f>
        <v>0.17959855215531426</v>
      </c>
      <c r="I25" s="63"/>
      <c r="J25" s="58">
        <f>(J12+J14)/J20</f>
        <v>0.16607216353409246</v>
      </c>
      <c r="K25" s="63"/>
      <c r="L25" s="58">
        <f>(L12+L14)/L20</f>
        <v>0.17003934794828554</v>
      </c>
      <c r="M25" s="63"/>
      <c r="N25" s="58">
        <f>(N12+N14)/N20</f>
        <v>0.1964577211883774</v>
      </c>
      <c r="O25" s="58"/>
      <c r="P25" s="58"/>
      <c r="U25" s="58">
        <v>0.19144731641767448</v>
      </c>
    </row>
    <row r="26" spans="3:21" ht="11.25">
      <c r="C26" s="63" t="s">
        <v>207</v>
      </c>
      <c r="D26" s="58">
        <f>+D12/D21</f>
        <v>0.1851563176582662</v>
      </c>
      <c r="E26" s="63"/>
      <c r="F26" s="58">
        <f>+F12/F21</f>
        <v>0.19638909358879883</v>
      </c>
      <c r="G26" s="63"/>
      <c r="H26" s="58">
        <f>+H12/H21</f>
        <v>0.2478746287001946</v>
      </c>
      <c r="I26" s="63"/>
      <c r="J26" s="58">
        <f>+J12/J21</f>
        <v>0.22339750370213665</v>
      </c>
      <c r="K26" s="63"/>
      <c r="L26" s="58">
        <f>+L12/L21</f>
        <v>0.23174881984850149</v>
      </c>
      <c r="M26" s="63"/>
      <c r="N26" s="58">
        <f>+N12/N21</f>
        <v>0.27921623512946114</v>
      </c>
      <c r="O26" s="58"/>
      <c r="P26" s="58"/>
      <c r="U26" s="58">
        <v>0.26707414297103377</v>
      </c>
    </row>
    <row r="27" spans="3:21" ht="11.25">
      <c r="C27" s="104" t="s">
        <v>287</v>
      </c>
      <c r="D27" s="58">
        <f>(+D12+D14)/(D21)</f>
        <v>0.21191651511215034</v>
      </c>
      <c r="E27" s="104"/>
      <c r="F27" s="58">
        <f>(+F12+F14)/(F21)</f>
        <v>0.22485261606484894</v>
      </c>
      <c r="G27" s="104"/>
      <c r="H27" s="58">
        <f>(+H12+H14)/(H21)</f>
        <v>0.27952473624910373</v>
      </c>
      <c r="I27" s="104"/>
      <c r="J27" s="58">
        <f>(+J12+J14)/(J21)</f>
        <v>0.2560820816585572</v>
      </c>
      <c r="K27" s="104"/>
      <c r="L27" s="58">
        <f>(+L12+L14)/(L21)</f>
        <v>0.2656713140849709</v>
      </c>
      <c r="M27" s="104"/>
      <c r="N27" s="58">
        <f>(+N12+N14)/(N21)</f>
        <v>0.33687893631910426</v>
      </c>
      <c r="O27" s="58"/>
      <c r="P27" s="58"/>
      <c r="U27" s="58">
        <v>0.3218176986446984</v>
      </c>
    </row>
    <row r="28" spans="3:21" ht="11.25">
      <c r="C28" s="63" t="s">
        <v>40</v>
      </c>
      <c r="D28" s="58">
        <f>(+D12+D14+D16)/D20</f>
        <v>0.17961136023916294</v>
      </c>
      <c r="E28" s="63"/>
      <c r="F28" s="58">
        <f>(+F12+F14+F16)/F20</f>
        <v>0.18793881644934804</v>
      </c>
      <c r="G28" s="63"/>
      <c r="H28" s="58">
        <f>(+H12+H14+H16)/H20</f>
        <v>0.21625534715366898</v>
      </c>
      <c r="I28" s="63"/>
      <c r="J28" s="58">
        <f>(+J12+J14+J16)/J20</f>
        <v>0.20428042255453424</v>
      </c>
      <c r="K28" s="63"/>
      <c r="L28" s="58">
        <f>(+L12+L14+L16)/L20</f>
        <v>0.20917650365373805</v>
      </c>
      <c r="M28" s="63"/>
      <c r="N28" s="58">
        <f>(+N12+N14+N16)/N20</f>
        <v>0.24191968658178256</v>
      </c>
      <c r="O28" s="58"/>
      <c r="P28" s="58"/>
      <c r="U28" s="58">
        <v>0.2354754564856533</v>
      </c>
    </row>
    <row r="29" spans="3:21" ht="6.75" customHeight="1">
      <c r="C29" s="63"/>
      <c r="D29" s="63"/>
      <c r="E29" s="63"/>
      <c r="F29" s="63"/>
      <c r="G29" s="63"/>
      <c r="H29" s="63"/>
      <c r="I29" s="63"/>
      <c r="J29" s="63"/>
      <c r="K29" s="63"/>
      <c r="L29" s="63"/>
      <c r="M29" s="63"/>
      <c r="N29" s="63"/>
      <c r="U29" s="63"/>
    </row>
    <row r="30" spans="3:21" ht="9" customHeight="1">
      <c r="C30" s="24"/>
      <c r="D30" s="24"/>
      <c r="E30" s="24"/>
      <c r="F30" s="24"/>
      <c r="G30" s="24"/>
      <c r="H30" s="24"/>
      <c r="I30" s="24"/>
      <c r="J30" s="24"/>
      <c r="K30" s="24"/>
      <c r="L30" s="24"/>
      <c r="M30" s="24"/>
      <c r="N30" s="63"/>
      <c r="U30" s="24"/>
    </row>
    <row r="31" spans="3:14" s="102" customFormat="1" ht="9">
      <c r="C31" s="266" t="s">
        <v>285</v>
      </c>
      <c r="N31" s="523"/>
    </row>
    <row r="32" ht="11.25">
      <c r="N32" s="7"/>
    </row>
    <row r="33" ht="11.25">
      <c r="N33" s="7"/>
    </row>
    <row r="34" ht="11.25">
      <c r="N34" s="7"/>
    </row>
  </sheetData>
  <sheetProtection objects="1"/>
  <mergeCells count="4">
    <mergeCell ref="A1:N1"/>
    <mergeCell ref="A2:N2"/>
    <mergeCell ref="A3:N3"/>
    <mergeCell ref="A4:N4"/>
  </mergeCells>
  <printOptions/>
  <pageMargins left="0.4" right="0.5" top="0.5" bottom="0.5" header="0.75" footer="0.25"/>
  <pageSetup horizontalDpi="600" verticalDpi="600" orientation="landscape" r:id="rId2"/>
  <headerFooter alignWithMargins="0">
    <oddFooter>&amp;L&amp;A&amp;R&amp;"Arial,Regular"&amp;8Page 23</oddFooter>
  </headerFooter>
  <drawing r:id="rId1"/>
</worksheet>
</file>

<file path=xl/worksheets/sheet26.xml><?xml version="1.0" encoding="utf-8"?>
<worksheet xmlns="http://schemas.openxmlformats.org/spreadsheetml/2006/main" xmlns:r="http://schemas.openxmlformats.org/officeDocument/2006/relationships">
  <sheetPr codeName="Sheet8"/>
  <dimension ref="A1:S44"/>
  <sheetViews>
    <sheetView workbookViewId="0" topLeftCell="A1">
      <selection activeCell="B5" sqref="B5"/>
    </sheetView>
  </sheetViews>
  <sheetFormatPr defaultColWidth="9.33203125" defaultRowHeight="12.75"/>
  <cols>
    <col min="1" max="1" width="2.83203125" style="111" customWidth="1"/>
    <col min="2" max="2" width="3.33203125" style="111" customWidth="1"/>
    <col min="3" max="3" width="66.5" style="111" customWidth="1"/>
    <col min="4" max="4" width="13.83203125" style="111" customWidth="1"/>
    <col min="5" max="5" width="2.83203125" style="111" customWidth="1"/>
    <col min="6" max="6" width="13.83203125" style="111" customWidth="1"/>
    <col min="7" max="7" width="2.83203125" style="111" customWidth="1"/>
    <col min="8" max="8" width="13.83203125" style="111" customWidth="1"/>
    <col min="9" max="9" width="2.83203125" style="111" customWidth="1"/>
    <col min="10" max="10" width="13.66015625" style="111" customWidth="1"/>
    <col min="11" max="11" width="2.83203125" style="111" customWidth="1"/>
    <col min="12" max="13" width="13.66015625" style="111" customWidth="1"/>
    <col min="14" max="16384" width="10.66015625" style="111" customWidth="1"/>
  </cols>
  <sheetData>
    <row r="1" spans="1:14" ht="12.75">
      <c r="A1" s="643" t="s">
        <v>96</v>
      </c>
      <c r="B1" s="643"/>
      <c r="C1" s="643"/>
      <c r="D1" s="643"/>
      <c r="E1" s="643"/>
      <c r="F1" s="643"/>
      <c r="G1" s="643"/>
      <c r="H1" s="643"/>
      <c r="I1" s="643"/>
      <c r="J1" s="643"/>
      <c r="K1" s="643"/>
      <c r="L1" s="643"/>
      <c r="M1" s="567"/>
      <c r="N1" s="567"/>
    </row>
    <row r="2" spans="1:14" ht="12.75" customHeight="1">
      <c r="A2" s="644" t="s">
        <v>169</v>
      </c>
      <c r="B2" s="644"/>
      <c r="C2" s="644"/>
      <c r="D2" s="644"/>
      <c r="E2" s="644"/>
      <c r="F2" s="644"/>
      <c r="G2" s="644"/>
      <c r="H2" s="644"/>
      <c r="I2" s="644"/>
      <c r="J2" s="644"/>
      <c r="K2" s="644"/>
      <c r="L2" s="644"/>
      <c r="M2" s="112"/>
      <c r="N2" s="112"/>
    </row>
    <row r="3" spans="1:14" ht="12.75" customHeight="1">
      <c r="A3" s="642" t="s">
        <v>219</v>
      </c>
      <c r="B3" s="642"/>
      <c r="C3" s="642"/>
      <c r="D3" s="642"/>
      <c r="E3" s="642"/>
      <c r="F3" s="642"/>
      <c r="G3" s="642"/>
      <c r="H3" s="642"/>
      <c r="I3" s="642"/>
      <c r="J3" s="642"/>
      <c r="K3" s="642"/>
      <c r="L3" s="642"/>
      <c r="M3" s="564"/>
      <c r="N3" s="564"/>
    </row>
    <row r="4" spans="1:14" ht="12.75" customHeight="1">
      <c r="A4" s="642" t="s">
        <v>170</v>
      </c>
      <c r="B4" s="642"/>
      <c r="C4" s="642"/>
      <c r="D4" s="642"/>
      <c r="E4" s="642"/>
      <c r="F4" s="642"/>
      <c r="G4" s="642"/>
      <c r="H4" s="642"/>
      <c r="I4" s="642"/>
      <c r="J4" s="642"/>
      <c r="K4" s="642"/>
      <c r="L4" s="642"/>
      <c r="M4" s="564"/>
      <c r="N4" s="564"/>
    </row>
    <row r="5" spans="2:9" ht="11.25">
      <c r="B5" s="112"/>
      <c r="C5" s="539"/>
      <c r="D5" s="113"/>
      <c r="E5" s="113"/>
      <c r="F5" s="113"/>
      <c r="H5" s="524"/>
      <c r="I5" s="493"/>
    </row>
    <row r="6" spans="3:10" ht="11.25">
      <c r="C6" s="538"/>
      <c r="D6" s="159" t="s">
        <v>429</v>
      </c>
      <c r="E6" s="159"/>
      <c r="F6" s="159"/>
      <c r="H6" s="159" t="s">
        <v>430</v>
      </c>
      <c r="I6" s="159"/>
      <c r="J6" s="159"/>
    </row>
    <row r="7" spans="3:13" ht="11.25">
      <c r="C7" s="114"/>
      <c r="D7" s="115">
        <v>2006</v>
      </c>
      <c r="E7" s="115"/>
      <c r="F7" s="115">
        <v>2005</v>
      </c>
      <c r="H7" s="115">
        <v>2006</v>
      </c>
      <c r="I7" s="115"/>
      <c r="J7" s="115">
        <v>2005</v>
      </c>
      <c r="M7" s="493"/>
    </row>
    <row r="8" spans="3:13" ht="15.75" customHeight="1">
      <c r="C8" s="209" t="s">
        <v>223</v>
      </c>
      <c r="D8" s="116"/>
      <c r="E8"/>
      <c r="F8" s="170"/>
      <c r="H8" s="116"/>
      <c r="I8"/>
      <c r="J8" s="170"/>
      <c r="M8" s="493"/>
    </row>
    <row r="9" spans="3:19" ht="12.75">
      <c r="C9" s="1" t="s">
        <v>381</v>
      </c>
      <c r="D9" s="255">
        <f>+'Financial Highlights'!E100</f>
        <v>643</v>
      </c>
      <c r="E9" s="398"/>
      <c r="F9" s="255">
        <f>+'Financial Highlights'!G20</f>
        <v>244</v>
      </c>
      <c r="G9" s="402"/>
      <c r="H9" s="255">
        <f>'Financial Highlights'!K100</f>
        <v>2351</v>
      </c>
      <c r="I9" s="398"/>
      <c r="J9" s="255">
        <f>+'Financial Highlights'!M20</f>
        <v>955</v>
      </c>
      <c r="K9" s="117"/>
      <c r="L9" s="117"/>
      <c r="M9" s="118"/>
      <c r="O9" s="117"/>
      <c r="P9" s="117"/>
      <c r="Q9" s="117"/>
      <c r="R9" s="117"/>
      <c r="S9" s="117"/>
    </row>
    <row r="10" spans="3:19" ht="12.75">
      <c r="C10" s="118" t="s">
        <v>186</v>
      </c>
      <c r="D10" s="261">
        <v>-12</v>
      </c>
      <c r="E10" s="398"/>
      <c r="F10" s="403">
        <v>-12</v>
      </c>
      <c r="G10" s="402"/>
      <c r="H10" s="261">
        <f>-33+D10</f>
        <v>-45</v>
      </c>
      <c r="I10" s="398"/>
      <c r="J10" s="403">
        <v>-45</v>
      </c>
      <c r="K10" s="117"/>
      <c r="L10" s="117"/>
      <c r="M10" s="118"/>
      <c r="O10" s="117"/>
      <c r="P10" s="117"/>
      <c r="Q10" s="117"/>
      <c r="R10" s="117"/>
      <c r="S10" s="117"/>
    </row>
    <row r="11" spans="3:16" ht="11.25" customHeight="1">
      <c r="C11" s="536" t="s">
        <v>383</v>
      </c>
      <c r="D11" s="48">
        <f>SUM(D9:D10)</f>
        <v>631</v>
      </c>
      <c r="E11" s="398"/>
      <c r="F11" s="48">
        <f>SUM(F9:F10)</f>
        <v>232</v>
      </c>
      <c r="G11" s="120"/>
      <c r="H11" s="48">
        <f>SUM(H9:H10)</f>
        <v>2306</v>
      </c>
      <c r="I11" s="398"/>
      <c r="J11" s="48">
        <f>SUM(J9:J10)</f>
        <v>910</v>
      </c>
      <c r="K11" s="117"/>
      <c r="L11" s="117"/>
      <c r="M11" s="118"/>
      <c r="O11" s="117"/>
      <c r="P11" s="117"/>
    </row>
    <row r="12" spans="3:16" ht="12.75">
      <c r="C12" s="118" t="s">
        <v>187</v>
      </c>
      <c r="D12" s="261">
        <f>+'Consolidated Results'!D25-'Consolidated Results'!D26</f>
        <v>22</v>
      </c>
      <c r="E12" s="398"/>
      <c r="F12" s="261">
        <f>+'Consolidated Results'!L25-'Consolidated Results'!L26</f>
        <v>-8</v>
      </c>
      <c r="G12" s="120"/>
      <c r="H12" s="261">
        <f>+'Consolidated Results'!N25-'Consolidated Results'!N26</f>
        <v>-50</v>
      </c>
      <c r="I12" s="398"/>
      <c r="J12" s="261">
        <f>+'Consolidated Results'!P25-'Consolidated Results'!P26</f>
        <v>73</v>
      </c>
      <c r="K12" s="117"/>
      <c r="L12" s="117"/>
      <c r="M12" s="118"/>
      <c r="O12" s="117"/>
      <c r="P12" s="117"/>
    </row>
    <row r="13" spans="3:16" ht="13.5" customHeight="1">
      <c r="C13" s="119" t="s">
        <v>377</v>
      </c>
      <c r="D13" s="48">
        <f>+D12+D11</f>
        <v>653</v>
      </c>
      <c r="E13" s="398"/>
      <c r="F13" s="48">
        <f>+F12+F11</f>
        <v>224</v>
      </c>
      <c r="G13" s="120"/>
      <c r="H13" s="48">
        <f>+H12+H11</f>
        <v>2256</v>
      </c>
      <c r="I13" s="398"/>
      <c r="J13" s="48">
        <f>+J12+J11</f>
        <v>983</v>
      </c>
      <c r="K13" s="117"/>
      <c r="L13" s="117"/>
      <c r="M13" s="118"/>
      <c r="O13" s="117"/>
      <c r="P13" s="117"/>
    </row>
    <row r="14" spans="3:16" ht="12.75">
      <c r="C14" s="205" t="s">
        <v>379</v>
      </c>
      <c r="D14" s="48">
        <f>+'Consolidated Results'!D22</f>
        <v>0</v>
      </c>
      <c r="E14" s="398"/>
      <c r="F14" s="48">
        <f>+'Consolidated Results'!L22</f>
        <v>0</v>
      </c>
      <c r="G14" s="120"/>
      <c r="H14" s="48">
        <f>+'Consolidated Results'!N22</f>
        <v>4</v>
      </c>
      <c r="I14" s="398"/>
      <c r="J14" s="48">
        <f>+'Consolidated Results'!P22</f>
        <v>0</v>
      </c>
      <c r="K14" s="117"/>
      <c r="L14" s="117"/>
      <c r="M14" s="118"/>
      <c r="O14" s="117"/>
      <c r="P14" s="117"/>
    </row>
    <row r="15" spans="3:16" ht="12" customHeight="1" thickBot="1">
      <c r="C15" s="118" t="s">
        <v>370</v>
      </c>
      <c r="D15" s="463">
        <f>+D13+D14</f>
        <v>653</v>
      </c>
      <c r="E15" s="464"/>
      <c r="F15" s="463">
        <f>+F13+F14</f>
        <v>224</v>
      </c>
      <c r="G15" s="465"/>
      <c r="H15" s="463">
        <f>+H13+H14</f>
        <v>2260</v>
      </c>
      <c r="I15" s="464"/>
      <c r="J15" s="463">
        <f>+J13+J14</f>
        <v>983</v>
      </c>
      <c r="K15" s="117"/>
      <c r="L15" s="117"/>
      <c r="M15" s="118"/>
      <c r="O15" s="117"/>
      <c r="P15" s="117"/>
    </row>
    <row r="16" spans="3:16" ht="15.75" customHeight="1" thickTop="1">
      <c r="C16" s="210"/>
      <c r="D16" s="48"/>
      <c r="E16" s="398"/>
      <c r="F16" s="48"/>
      <c r="G16" s="148"/>
      <c r="H16" s="48"/>
      <c r="I16" s="398"/>
      <c r="J16" s="48"/>
      <c r="K16" s="117"/>
      <c r="L16" s="117"/>
      <c r="M16" s="118"/>
      <c r="O16" s="117"/>
      <c r="P16" s="117"/>
    </row>
    <row r="17" spans="3:16" ht="12.75">
      <c r="C17" s="209" t="s">
        <v>225</v>
      </c>
      <c r="D17" s="48"/>
      <c r="E17" s="398"/>
      <c r="F17" s="48"/>
      <c r="G17" s="148"/>
      <c r="H17" s="48"/>
      <c r="I17" s="398"/>
      <c r="J17" s="48"/>
      <c r="K17" s="117"/>
      <c r="L17" s="117"/>
      <c r="M17" s="118"/>
      <c r="O17" s="117"/>
      <c r="P17" s="117"/>
    </row>
    <row r="18" spans="3:16" ht="12.75">
      <c r="C18" s="118" t="s">
        <v>224</v>
      </c>
      <c r="D18" s="48">
        <v>325956542</v>
      </c>
      <c r="E18" s="398"/>
      <c r="F18" s="48">
        <v>288672450</v>
      </c>
      <c r="G18" s="120"/>
      <c r="H18" s="48">
        <v>323322586</v>
      </c>
      <c r="I18" s="398"/>
      <c r="J18" s="48">
        <v>284478525</v>
      </c>
      <c r="K18" s="117"/>
      <c r="L18" s="117"/>
      <c r="M18" s="118"/>
      <c r="O18" s="117"/>
      <c r="P18" s="117"/>
    </row>
    <row r="19" spans="3:16" ht="12.75">
      <c r="C19" s="118" t="s">
        <v>456</v>
      </c>
      <c r="D19" s="48">
        <v>0</v>
      </c>
      <c r="E19" s="398"/>
      <c r="F19" s="48">
        <v>32909170</v>
      </c>
      <c r="G19" s="120"/>
      <c r="H19" s="48">
        <v>0</v>
      </c>
      <c r="I19" s="398"/>
      <c r="J19" s="48">
        <v>32909170</v>
      </c>
      <c r="K19" s="117"/>
      <c r="L19" s="117"/>
      <c r="M19" s="118"/>
      <c r="O19" s="117"/>
      <c r="P19" s="117"/>
    </row>
    <row r="20" spans="3:16" ht="12.75">
      <c r="C20" s="118" t="s">
        <v>188</v>
      </c>
      <c r="D20" s="48">
        <v>58</v>
      </c>
      <c r="E20" s="398"/>
      <c r="F20" s="48">
        <v>235</v>
      </c>
      <c r="G20" s="120"/>
      <c r="H20" s="48">
        <v>202949</v>
      </c>
      <c r="I20" s="398"/>
      <c r="J20" s="48">
        <v>216504</v>
      </c>
      <c r="K20" s="117"/>
      <c r="L20" s="117"/>
      <c r="M20" s="118"/>
      <c r="O20" s="117"/>
      <c r="P20" s="117"/>
    </row>
    <row r="21" spans="3:16" ht="12.75">
      <c r="C21" s="118" t="s">
        <v>195</v>
      </c>
      <c r="D21" s="48">
        <v>-41791</v>
      </c>
      <c r="E21" s="398"/>
      <c r="F21" s="48">
        <v>-38719</v>
      </c>
      <c r="G21" s="120"/>
      <c r="H21" s="48">
        <v>947373</v>
      </c>
      <c r="I21" s="398"/>
      <c r="J21" s="48">
        <v>990406</v>
      </c>
      <c r="K21" s="117"/>
      <c r="L21" s="117"/>
      <c r="M21" s="118"/>
      <c r="O21" s="117"/>
      <c r="P21" s="117"/>
    </row>
    <row r="22" spans="3:16" ht="12.75">
      <c r="C22" s="118" t="s">
        <v>196</v>
      </c>
      <c r="D22" s="48">
        <v>540659</v>
      </c>
      <c r="E22" s="398"/>
      <c r="F22" s="48">
        <v>1779450</v>
      </c>
      <c r="G22" s="120"/>
      <c r="H22" s="48">
        <v>1982560</v>
      </c>
      <c r="I22" s="398"/>
      <c r="J22" s="48">
        <v>4727981</v>
      </c>
      <c r="K22" s="117"/>
      <c r="L22" s="117"/>
      <c r="M22" s="118"/>
      <c r="O22" s="117"/>
      <c r="P22" s="117"/>
    </row>
    <row r="23" spans="3:16" ht="12" customHeight="1" thickBot="1">
      <c r="C23" s="118" t="s">
        <v>61</v>
      </c>
      <c r="D23" s="404">
        <f>SUM(D18:D22)</f>
        <v>326455468</v>
      </c>
      <c r="E23" s="398"/>
      <c r="F23" s="404">
        <f>SUM(F18:F22)</f>
        <v>323322586</v>
      </c>
      <c r="G23" s="120"/>
      <c r="H23" s="404">
        <f>SUM(H18:H22)</f>
        <v>326455468</v>
      </c>
      <c r="I23" s="398"/>
      <c r="J23" s="404">
        <f>SUM(J18:J22)</f>
        <v>323322586</v>
      </c>
      <c r="K23" s="117"/>
      <c r="L23" s="117"/>
      <c r="M23" s="118"/>
      <c r="O23" s="117"/>
      <c r="P23" s="117"/>
    </row>
    <row r="24" spans="3:16" ht="15.75" customHeight="1" thickTop="1">
      <c r="C24" s="118"/>
      <c r="D24" s="48"/>
      <c r="E24" s="398"/>
      <c r="F24" s="48"/>
      <c r="G24" s="148"/>
      <c r="H24" s="48"/>
      <c r="I24" s="398"/>
      <c r="J24" s="48"/>
      <c r="K24" s="117"/>
      <c r="L24" s="117"/>
      <c r="M24" s="118"/>
      <c r="N24" s="117"/>
      <c r="O24" s="117"/>
      <c r="P24" s="117"/>
    </row>
    <row r="25" spans="3:16" ht="12.75">
      <c r="C25" s="209" t="s">
        <v>226</v>
      </c>
      <c r="D25" s="366"/>
      <c r="E25" s="398"/>
      <c r="F25" s="48"/>
      <c r="G25" s="148"/>
      <c r="H25" s="366"/>
      <c r="I25" s="398"/>
      <c r="J25" s="366"/>
      <c r="K25" s="117"/>
      <c r="L25" s="117"/>
      <c r="M25" s="117"/>
      <c r="N25" s="117"/>
      <c r="O25" s="117"/>
      <c r="P25" s="117"/>
    </row>
    <row r="26" spans="3:16" ht="11.25" customHeight="1">
      <c r="C26" s="118" t="s">
        <v>197</v>
      </c>
      <c r="D26" s="48">
        <v>322461336</v>
      </c>
      <c r="E26" s="398"/>
      <c r="F26" s="48">
        <v>317061215.0430108</v>
      </c>
      <c r="G26" s="148"/>
      <c r="H26" s="48">
        <v>321768672</v>
      </c>
      <c r="I26" s="398"/>
      <c r="J26" s="48">
        <v>292401342.6284153</v>
      </c>
      <c r="K26" s="117"/>
      <c r="L26" s="117"/>
      <c r="M26" s="117"/>
      <c r="N26" s="117"/>
      <c r="O26" s="117"/>
      <c r="P26" s="117"/>
    </row>
    <row r="27" spans="3:16" ht="11.25" customHeight="1">
      <c r="C27" s="118" t="s">
        <v>198</v>
      </c>
      <c r="D27" s="403">
        <v>5905367</v>
      </c>
      <c r="E27" s="398"/>
      <c r="F27" s="403">
        <v>6296293.3619659245</v>
      </c>
      <c r="G27" s="120"/>
      <c r="H27" s="403">
        <v>5463350</v>
      </c>
      <c r="I27" s="398"/>
      <c r="J27" s="403">
        <v>4898540</v>
      </c>
      <c r="K27" s="117"/>
      <c r="L27" s="117"/>
      <c r="M27" s="117"/>
      <c r="N27" s="117"/>
      <c r="O27" s="117"/>
      <c r="P27" s="117"/>
    </row>
    <row r="28" spans="3:16" ht="12.75" customHeight="1" thickBot="1">
      <c r="C28" s="118" t="s">
        <v>62</v>
      </c>
      <c r="D28" s="498">
        <f>SUM(D26:D27)</f>
        <v>328366703</v>
      </c>
      <c r="E28" s="398"/>
      <c r="F28" s="498">
        <f>SUM(F26:F27)</f>
        <v>323357508.4049767</v>
      </c>
      <c r="G28" s="120"/>
      <c r="H28" s="498">
        <f>SUM(H26:H27)</f>
        <v>327232022</v>
      </c>
      <c r="I28" s="398"/>
      <c r="J28" s="498">
        <f>SUM(J26:J27)</f>
        <v>297299882.6284153</v>
      </c>
      <c r="K28" s="117"/>
      <c r="L28" s="117"/>
      <c r="M28" s="117"/>
      <c r="N28" s="117"/>
      <c r="O28" s="117"/>
      <c r="P28" s="117"/>
    </row>
    <row r="29" spans="3:16" ht="12.75" customHeight="1" thickTop="1">
      <c r="C29" s="118"/>
      <c r="D29" s="120"/>
      <c r="E29" s="398"/>
      <c r="F29" s="120"/>
      <c r="G29" s="120"/>
      <c r="H29" s="120"/>
      <c r="I29" s="398"/>
      <c r="J29" s="120"/>
      <c r="K29" s="117"/>
      <c r="L29" s="117"/>
      <c r="M29" s="117"/>
      <c r="N29" s="117"/>
      <c r="O29" s="117"/>
      <c r="P29" s="117"/>
    </row>
    <row r="30" spans="3:16" ht="12.75" customHeight="1">
      <c r="C30" s="209" t="s">
        <v>6</v>
      </c>
      <c r="D30" s="120"/>
      <c r="E30" s="398"/>
      <c r="F30" s="120"/>
      <c r="G30" s="120"/>
      <c r="H30" s="120"/>
      <c r="I30" s="398"/>
      <c r="J30" s="120"/>
      <c r="K30" s="117"/>
      <c r="L30" s="117"/>
      <c r="M30" s="117"/>
      <c r="N30" s="117"/>
      <c r="O30" s="117"/>
      <c r="P30" s="117"/>
    </row>
    <row r="31" spans="3:16" ht="12.75" customHeight="1">
      <c r="C31" s="1" t="s">
        <v>381</v>
      </c>
      <c r="D31" s="122">
        <v>1.96</v>
      </c>
      <c r="E31" s="398"/>
      <c r="F31" s="122">
        <v>0.73</v>
      </c>
      <c r="G31" s="120"/>
      <c r="H31" s="122">
        <v>7.17</v>
      </c>
      <c r="I31" s="398"/>
      <c r="J31" s="122">
        <v>3.11</v>
      </c>
      <c r="K31" s="122"/>
      <c r="L31" s="117"/>
      <c r="M31" s="117"/>
      <c r="N31" s="117"/>
      <c r="O31" s="117"/>
      <c r="P31" s="117"/>
    </row>
    <row r="32" spans="3:16" ht="12.75" customHeight="1">
      <c r="C32" s="118" t="s">
        <v>187</v>
      </c>
      <c r="D32" s="123">
        <v>0.07</v>
      </c>
      <c r="E32" s="398"/>
      <c r="F32" s="123">
        <v>-0.02</v>
      </c>
      <c r="G32" s="120"/>
      <c r="H32" s="123">
        <v>-0.16</v>
      </c>
      <c r="I32" s="398"/>
      <c r="J32" s="123">
        <v>0.25</v>
      </c>
      <c r="K32" s="123"/>
      <c r="L32" s="117"/>
      <c r="M32" s="117"/>
      <c r="N32" s="117"/>
      <c r="O32" s="117"/>
      <c r="P32" s="117"/>
    </row>
    <row r="33" spans="3:16" ht="12.75" customHeight="1">
      <c r="C33" s="205" t="s">
        <v>379</v>
      </c>
      <c r="D33" s="499">
        <v>0</v>
      </c>
      <c r="E33" s="398"/>
      <c r="F33" s="499">
        <v>0</v>
      </c>
      <c r="G33" s="120"/>
      <c r="H33" s="499">
        <v>0.01</v>
      </c>
      <c r="I33" s="398"/>
      <c r="J33" s="499">
        <v>0</v>
      </c>
      <c r="K33" s="122"/>
      <c r="L33" s="117"/>
      <c r="M33" s="117"/>
      <c r="N33" s="117"/>
      <c r="O33" s="117"/>
      <c r="P33" s="117"/>
    </row>
    <row r="34" spans="3:16" ht="12.75" customHeight="1" thickBot="1">
      <c r="C34" s="118" t="s">
        <v>220</v>
      </c>
      <c r="D34" s="535">
        <f>SUM(D31:D33)</f>
        <v>2.03</v>
      </c>
      <c r="E34" s="398"/>
      <c r="F34" s="535">
        <f>SUM(F31:F33)</f>
        <v>0.71</v>
      </c>
      <c r="G34" s="120"/>
      <c r="H34" s="535">
        <f>SUM(H31:H33)</f>
        <v>7.02</v>
      </c>
      <c r="I34" s="398"/>
      <c r="J34" s="535">
        <f>SUM(J31:J33)</f>
        <v>3.36</v>
      </c>
      <c r="K34" s="192"/>
      <c r="L34" s="117"/>
      <c r="M34" s="117"/>
      <c r="N34" s="117"/>
      <c r="O34" s="117"/>
      <c r="P34" s="117"/>
    </row>
    <row r="35" spans="3:16" ht="12.75" customHeight="1" thickTop="1">
      <c r="C35" s="211"/>
      <c r="D35" s="192"/>
      <c r="E35" s="263"/>
      <c r="F35" s="375"/>
      <c r="G35" s="120"/>
      <c r="H35" s="192"/>
      <c r="I35" s="263"/>
      <c r="J35" s="375"/>
      <c r="K35" s="524"/>
      <c r="L35" s="117"/>
      <c r="M35" s="117"/>
      <c r="N35" s="117"/>
      <c r="O35" s="117"/>
      <c r="P35" s="117"/>
    </row>
    <row r="36" spans="3:19" ht="12.75" customHeight="1">
      <c r="C36" s="209" t="s">
        <v>331</v>
      </c>
      <c r="D36" s="121"/>
      <c r="E36" s="263"/>
      <c r="F36" s="120"/>
      <c r="G36" s="122"/>
      <c r="H36" s="121"/>
      <c r="I36" s="263"/>
      <c r="J36" s="120"/>
      <c r="K36" s="121"/>
      <c r="L36" s="117"/>
      <c r="M36" s="117"/>
      <c r="N36" s="117"/>
      <c r="O36" s="117"/>
      <c r="P36" s="117"/>
      <c r="Q36" s="117"/>
      <c r="R36" s="117"/>
      <c r="S36" s="117"/>
    </row>
    <row r="37" spans="3:19" ht="12.75" customHeight="1">
      <c r="C37" s="1" t="s">
        <v>381</v>
      </c>
      <c r="D37" s="122">
        <v>1.92</v>
      </c>
      <c r="E37" s="263"/>
      <c r="F37" s="122">
        <v>0.72</v>
      </c>
      <c r="G37" s="122"/>
      <c r="H37" s="122">
        <v>7.05</v>
      </c>
      <c r="I37" s="263"/>
      <c r="J37" s="122">
        <v>3.06</v>
      </c>
      <c r="K37" s="122"/>
      <c r="L37" s="117"/>
      <c r="M37" s="117"/>
      <c r="N37" s="117"/>
      <c r="O37" s="117"/>
      <c r="P37" s="117"/>
      <c r="Q37" s="117"/>
      <c r="R37" s="117"/>
      <c r="S37" s="117"/>
    </row>
    <row r="38" spans="3:11" ht="12.75" customHeight="1">
      <c r="C38" s="118" t="s">
        <v>187</v>
      </c>
      <c r="D38" s="123">
        <v>0.07</v>
      </c>
      <c r="E38" s="263"/>
      <c r="F38" s="123">
        <v>-0.03</v>
      </c>
      <c r="G38" s="123"/>
      <c r="H38" s="123">
        <v>-0.15</v>
      </c>
      <c r="I38" s="263"/>
      <c r="J38" s="123">
        <v>0.25</v>
      </c>
      <c r="K38" s="123"/>
    </row>
    <row r="39" spans="3:11" ht="12.75" customHeight="1">
      <c r="C39" s="205" t="s">
        <v>379</v>
      </c>
      <c r="D39" s="499">
        <v>0</v>
      </c>
      <c r="E39" s="263"/>
      <c r="F39" s="499">
        <v>0</v>
      </c>
      <c r="G39" s="123"/>
      <c r="H39" s="499">
        <v>0.01</v>
      </c>
      <c r="I39" s="263"/>
      <c r="J39" s="499">
        <v>0</v>
      </c>
      <c r="K39" s="122"/>
    </row>
    <row r="40" spans="3:19" ht="12.75" customHeight="1" thickBot="1">
      <c r="C40" s="118" t="s">
        <v>7</v>
      </c>
      <c r="D40" s="500">
        <f>SUM(D37:D39)</f>
        <v>1.99</v>
      </c>
      <c r="E40" s="263"/>
      <c r="F40" s="500">
        <f>SUM(F37:F39)</f>
        <v>0.69</v>
      </c>
      <c r="G40" s="122"/>
      <c r="H40" s="500">
        <f>SUM(H37:H39)</f>
        <v>6.909999999999999</v>
      </c>
      <c r="I40" s="263"/>
      <c r="J40" s="500">
        <f>SUM(J37:J39)</f>
        <v>3.31</v>
      </c>
      <c r="K40" s="118"/>
      <c r="L40" s="117"/>
      <c r="M40" s="117"/>
      <c r="N40" s="117"/>
      <c r="O40" s="117"/>
      <c r="P40" s="117"/>
      <c r="Q40" s="117"/>
      <c r="R40" s="117"/>
      <c r="S40" s="117"/>
    </row>
    <row r="41" spans="3:19" ht="12.75" customHeight="1" thickTop="1">
      <c r="C41" s="190"/>
      <c r="D41" s="192"/>
      <c r="E41"/>
      <c r="F41" s="191"/>
      <c r="G41" s="120"/>
      <c r="H41" s="118"/>
      <c r="I41" s="118"/>
      <c r="J41" s="117"/>
      <c r="K41" s="117"/>
      <c r="L41" s="117"/>
      <c r="M41" s="117"/>
      <c r="N41" s="117"/>
      <c r="O41" s="117"/>
      <c r="P41" s="117"/>
      <c r="Q41" s="117"/>
      <c r="R41" s="117"/>
      <c r="S41" s="117"/>
    </row>
    <row r="42" spans="3:5" ht="12.75" customHeight="1">
      <c r="C42" s="571" t="str">
        <f>+'Financial Highlights'!C48</f>
        <v>(1) See page 25 Non-GAAP Financial Measures.</v>
      </c>
      <c r="D42" s="366"/>
      <c r="E42"/>
    </row>
    <row r="43" spans="3:12" ht="11.25">
      <c r="C43" s="641"/>
      <c r="D43" s="641"/>
      <c r="E43" s="641"/>
      <c r="F43" s="641"/>
      <c r="G43" s="641"/>
      <c r="H43" s="641"/>
      <c r="I43" s="641"/>
      <c r="J43" s="641"/>
      <c r="K43" s="641"/>
      <c r="L43" s="641"/>
    </row>
    <row r="44" spans="5:6" ht="12.75">
      <c r="E44"/>
      <c r="F44" s="458"/>
    </row>
  </sheetData>
  <sheetProtection objects="1"/>
  <mergeCells count="5">
    <mergeCell ref="C43:L43"/>
    <mergeCell ref="A4:L4"/>
    <mergeCell ref="A1:L1"/>
    <mergeCell ref="A2:L2"/>
    <mergeCell ref="A3:L3"/>
  </mergeCells>
  <hyperlinks>
    <hyperlink ref="C42" location="'Reconciliation Non-GAAP'!A1" display="'Reconciliation Non-GAAP'!A1"/>
  </hyperlinks>
  <printOptions/>
  <pageMargins left="0.5" right="0.5" top="0.5" bottom="0.5" header="0.75" footer="0.25"/>
  <pageSetup horizontalDpi="600" verticalDpi="600" orientation="landscape" r:id="rId2"/>
  <headerFooter alignWithMargins="0">
    <oddFooter>&amp;L&amp;A&amp;R&amp;"Arial,Regular"&amp;8Page 24</oddFooter>
  </headerFooter>
  <drawing r:id="rId1"/>
</worksheet>
</file>

<file path=xl/worksheets/sheet27.xml><?xml version="1.0" encoding="utf-8"?>
<worksheet xmlns="http://schemas.openxmlformats.org/spreadsheetml/2006/main" xmlns:r="http://schemas.openxmlformats.org/officeDocument/2006/relationships">
  <sheetPr codeName="Sheet31"/>
  <dimension ref="A1:R32"/>
  <sheetViews>
    <sheetView workbookViewId="0" topLeftCell="A1">
      <selection activeCell="A6" sqref="A6"/>
    </sheetView>
  </sheetViews>
  <sheetFormatPr defaultColWidth="9.33203125" defaultRowHeight="12.75"/>
  <cols>
    <col min="1" max="2" width="2.83203125" style="1" customWidth="1"/>
    <col min="3" max="3" width="52.83203125" style="1" customWidth="1"/>
    <col min="4" max="8" width="10.83203125" style="1" customWidth="1"/>
    <col min="9" max="9" width="2.66015625" style="1" customWidth="1"/>
    <col min="10" max="10" width="10.83203125" style="1" customWidth="1"/>
    <col min="11" max="11" width="2.5" style="1" customWidth="1"/>
    <col min="12" max="12" width="10.83203125" style="1" customWidth="1"/>
    <col min="13" max="13" width="2.66015625" style="1" customWidth="1"/>
    <col min="14" max="14" width="10.83203125" style="1" customWidth="1"/>
    <col min="15" max="16384" width="8.16015625" style="1" customWidth="1"/>
  </cols>
  <sheetData>
    <row r="1" spans="1:16" ht="12.75">
      <c r="A1" s="619" t="s">
        <v>96</v>
      </c>
      <c r="B1" s="619"/>
      <c r="C1" s="619"/>
      <c r="D1" s="619"/>
      <c r="E1" s="619"/>
      <c r="F1" s="619"/>
      <c r="G1" s="619"/>
      <c r="H1" s="619"/>
      <c r="I1" s="619"/>
      <c r="J1" s="619"/>
      <c r="K1" s="619"/>
      <c r="L1" s="619"/>
      <c r="M1" s="355"/>
      <c r="N1" s="355"/>
      <c r="O1" s="24"/>
      <c r="P1" s="24"/>
    </row>
    <row r="2" spans="1:16" ht="12">
      <c r="A2" s="618" t="s">
        <v>22</v>
      </c>
      <c r="B2" s="618"/>
      <c r="C2" s="618"/>
      <c r="D2" s="618"/>
      <c r="E2" s="618"/>
      <c r="F2" s="618"/>
      <c r="G2" s="618"/>
      <c r="H2" s="618"/>
      <c r="I2" s="618"/>
      <c r="J2" s="618"/>
      <c r="K2" s="618"/>
      <c r="L2" s="618"/>
      <c r="M2" s="56"/>
      <c r="N2" s="56"/>
      <c r="O2" s="24"/>
      <c r="P2" s="24"/>
    </row>
    <row r="3" spans="1:16" ht="12.75" customHeight="1">
      <c r="A3" s="617" t="s">
        <v>154</v>
      </c>
      <c r="B3" s="617"/>
      <c r="C3" s="617"/>
      <c r="D3" s="617"/>
      <c r="E3" s="617"/>
      <c r="F3" s="617"/>
      <c r="G3" s="617"/>
      <c r="H3" s="617"/>
      <c r="I3" s="617"/>
      <c r="J3" s="617"/>
      <c r="K3" s="617"/>
      <c r="L3" s="617"/>
      <c r="M3" s="356"/>
      <c r="N3" s="356"/>
      <c r="O3" s="24"/>
      <c r="P3" s="24"/>
    </row>
    <row r="4" spans="1:16" ht="13.5" customHeight="1">
      <c r="A4" s="617" t="s">
        <v>170</v>
      </c>
      <c r="B4" s="617"/>
      <c r="C4" s="617"/>
      <c r="D4" s="617"/>
      <c r="E4" s="617"/>
      <c r="F4" s="617"/>
      <c r="G4" s="617"/>
      <c r="H4" s="617"/>
      <c r="I4" s="617"/>
      <c r="J4" s="617"/>
      <c r="K4" s="617"/>
      <c r="L4" s="617"/>
      <c r="M4" s="356"/>
      <c r="N4" s="356"/>
      <c r="O4" s="24"/>
      <c r="P4" s="24"/>
    </row>
    <row r="5" spans="1:11" ht="11.25" customHeight="1">
      <c r="A5" s="2"/>
      <c r="B5" s="2"/>
      <c r="C5" s="645"/>
      <c r="D5" s="645"/>
      <c r="E5" s="645"/>
      <c r="F5" s="2"/>
      <c r="G5" s="2"/>
      <c r="H5" s="2"/>
      <c r="I5" s="2"/>
      <c r="J5" s="2"/>
      <c r="K5" s="2"/>
    </row>
    <row r="6" spans="1:13" ht="12.75">
      <c r="A6" s="2"/>
      <c r="B6" s="2"/>
      <c r="C6" s="228" t="s">
        <v>49</v>
      </c>
      <c r="D6" s="228"/>
      <c r="E6" s="2"/>
      <c r="F6" s="2"/>
      <c r="G6" s="2"/>
      <c r="H6" s="2"/>
      <c r="L6" s="646"/>
      <c r="M6" s="646"/>
    </row>
    <row r="7" spans="1:14" ht="5.25" customHeight="1">
      <c r="A7" s="2"/>
      <c r="B7" s="2"/>
      <c r="C7" s="2"/>
      <c r="D7" s="2"/>
      <c r="E7" s="2"/>
      <c r="F7" s="2"/>
      <c r="G7" s="2"/>
      <c r="H7" s="2"/>
      <c r="N7" s="7"/>
    </row>
    <row r="8" spans="1:14" ht="39.75" customHeight="1">
      <c r="A8" s="2"/>
      <c r="B8" s="2"/>
      <c r="C8" s="647" t="s">
        <v>544</v>
      </c>
      <c r="D8" s="647"/>
      <c r="E8" s="647"/>
      <c r="F8" s="647"/>
      <c r="G8" s="647"/>
      <c r="H8" s="647"/>
      <c r="I8" s="647"/>
      <c r="J8" s="647"/>
      <c r="K8" s="647"/>
      <c r="L8" s="647"/>
      <c r="M8" s="585"/>
      <c r="N8" s="585"/>
    </row>
    <row r="9" spans="1:14" ht="43.5" customHeight="1">
      <c r="A9" s="2"/>
      <c r="B9" s="2"/>
      <c r="C9" s="647" t="s">
        <v>4</v>
      </c>
      <c r="D9" s="647"/>
      <c r="E9" s="647"/>
      <c r="F9" s="647"/>
      <c r="G9" s="647"/>
      <c r="H9" s="647"/>
      <c r="I9" s="647"/>
      <c r="J9" s="647"/>
      <c r="K9" s="647"/>
      <c r="L9" s="647"/>
      <c r="M9" s="585"/>
      <c r="N9" s="585"/>
    </row>
    <row r="10" spans="1:14" ht="80.25" customHeight="1">
      <c r="A10" s="2"/>
      <c r="B10" s="2"/>
      <c r="C10" s="647" t="s">
        <v>428</v>
      </c>
      <c r="D10" s="647"/>
      <c r="E10" s="647"/>
      <c r="F10" s="647"/>
      <c r="G10" s="647"/>
      <c r="H10" s="647"/>
      <c r="I10" s="647"/>
      <c r="J10" s="647"/>
      <c r="K10" s="647"/>
      <c r="L10" s="647"/>
      <c r="M10" s="585"/>
      <c r="N10" s="585"/>
    </row>
    <row r="11" spans="3:18" ht="12.75">
      <c r="C11" s="3"/>
      <c r="D11" s="3"/>
      <c r="E11" s="3"/>
      <c r="F11" s="3"/>
      <c r="I11" s="2"/>
      <c r="J11" s="2" t="s">
        <v>19</v>
      </c>
      <c r="K11" s="2"/>
      <c r="L11" s="2" t="s">
        <v>19</v>
      </c>
      <c r="M11" s="2"/>
      <c r="N11" s="5"/>
      <c r="P11" s="5"/>
      <c r="R11" s="5"/>
    </row>
    <row r="12" spans="4:18" ht="11.25">
      <c r="D12" s="4" t="s">
        <v>432</v>
      </c>
      <c r="E12" s="4" t="s">
        <v>408</v>
      </c>
      <c r="F12" s="4" t="s">
        <v>404</v>
      </c>
      <c r="G12" s="4" t="s">
        <v>356</v>
      </c>
      <c r="H12" s="4" t="s">
        <v>2</v>
      </c>
      <c r="I12" s="5"/>
      <c r="J12" s="6">
        <v>2006</v>
      </c>
      <c r="K12" s="5"/>
      <c r="L12" s="6">
        <v>2005</v>
      </c>
      <c r="M12" s="5"/>
      <c r="N12" s="124"/>
      <c r="P12" s="124"/>
      <c r="R12" s="124"/>
    </row>
    <row r="13" spans="4:18" ht="11.25">
      <c r="D13" s="5"/>
      <c r="E13" s="5"/>
      <c r="F13" s="170"/>
      <c r="G13" s="170"/>
      <c r="H13" s="170"/>
      <c r="I13" s="5"/>
      <c r="J13" s="124"/>
      <c r="K13" s="5"/>
      <c r="L13" s="124"/>
      <c r="M13" s="5"/>
      <c r="N13" s="124"/>
      <c r="P13" s="124"/>
      <c r="R13" s="124"/>
    </row>
    <row r="14" spans="3:18" ht="13.5" customHeight="1">
      <c r="C14" s="176" t="s">
        <v>461</v>
      </c>
      <c r="D14" s="219">
        <f>+'Segment  2006 Qtr'!Q24</f>
        <v>665</v>
      </c>
      <c r="E14" s="219">
        <v>578</v>
      </c>
      <c r="F14" s="219">
        <v>573</v>
      </c>
      <c r="G14" s="219">
        <v>489</v>
      </c>
      <c r="H14" s="219">
        <v>236</v>
      </c>
      <c r="I14" s="488"/>
      <c r="J14" s="219">
        <f>+E14+D14+F14+G14</f>
        <v>2305</v>
      </c>
      <c r="K14" s="488"/>
      <c r="L14" s="219">
        <v>1028</v>
      </c>
      <c r="M14" s="488"/>
      <c r="N14" s="219"/>
      <c r="O14" s="369"/>
      <c r="P14" s="219"/>
      <c r="R14" s="219"/>
    </row>
    <row r="15" spans="1:18" ht="12.75" customHeight="1">
      <c r="A15" s="94"/>
      <c r="B15" s="94"/>
      <c r="C15" s="16" t="s">
        <v>173</v>
      </c>
      <c r="D15" s="223">
        <f>+'Segment  2006 Qtr'!Q26</f>
        <v>15</v>
      </c>
      <c r="E15" s="223">
        <v>-113</v>
      </c>
      <c r="F15" s="223">
        <v>-7</v>
      </c>
      <c r="G15" s="223">
        <v>7</v>
      </c>
      <c r="H15" s="223">
        <v>-25</v>
      </c>
      <c r="I15" s="229"/>
      <c r="J15" s="223">
        <f>+E15+D15+F15+G15</f>
        <v>-98</v>
      </c>
      <c r="K15" s="229"/>
      <c r="L15" s="223">
        <v>76</v>
      </c>
      <c r="M15" s="229"/>
      <c r="N15" s="223"/>
      <c r="O15" s="369"/>
      <c r="P15" s="223"/>
      <c r="R15" s="223"/>
    </row>
    <row r="16" spans="1:18" ht="12.75" customHeight="1">
      <c r="A16" s="94"/>
      <c r="B16" s="74"/>
      <c r="C16" s="177" t="s">
        <v>348</v>
      </c>
      <c r="D16" s="223">
        <f>+'Segment  2006 Qtr'!Q27</f>
        <v>-7</v>
      </c>
      <c r="E16" s="223">
        <v>-39</v>
      </c>
      <c r="F16" s="223">
        <v>-1</v>
      </c>
      <c r="G16" s="223">
        <v>-1</v>
      </c>
      <c r="H16" s="223">
        <v>-17</v>
      </c>
      <c r="I16" s="229"/>
      <c r="J16" s="223">
        <f>+E16+D16+F16+G16</f>
        <v>-48</v>
      </c>
      <c r="K16" s="229"/>
      <c r="L16" s="223">
        <v>3</v>
      </c>
      <c r="M16" s="229"/>
      <c r="N16" s="223"/>
      <c r="O16" s="369"/>
      <c r="P16" s="223"/>
      <c r="R16" s="223"/>
    </row>
    <row r="17" spans="1:18" ht="12.75" customHeight="1">
      <c r="A17" s="94"/>
      <c r="B17" s="74"/>
      <c r="C17" s="177" t="s">
        <v>379</v>
      </c>
      <c r="D17" s="223">
        <v>0</v>
      </c>
      <c r="E17" s="223">
        <v>0</v>
      </c>
      <c r="F17" s="223">
        <v>0</v>
      </c>
      <c r="G17" s="223">
        <v>4</v>
      </c>
      <c r="H17" s="223">
        <v>0</v>
      </c>
      <c r="I17" s="229"/>
      <c r="J17" s="223">
        <f>+E17+D17+F17+G17</f>
        <v>4</v>
      </c>
      <c r="K17" s="229"/>
      <c r="L17" s="223">
        <v>0</v>
      </c>
      <c r="M17" s="229"/>
      <c r="N17" s="223"/>
      <c r="O17" s="369"/>
      <c r="P17" s="223"/>
      <c r="R17" s="223"/>
    </row>
    <row r="18" spans="1:18" ht="15.75" customHeight="1" thickBot="1">
      <c r="A18" s="94"/>
      <c r="B18" s="74"/>
      <c r="C18" s="205" t="s">
        <v>462</v>
      </c>
      <c r="D18" s="198">
        <f>+D14-D15+D16-D17</f>
        <v>643</v>
      </c>
      <c r="E18" s="198">
        <f aca="true" t="shared" si="0" ref="E18:L18">+E14-E15+E16-E17</f>
        <v>652</v>
      </c>
      <c r="F18" s="198">
        <f t="shared" si="0"/>
        <v>579</v>
      </c>
      <c r="G18" s="198">
        <f t="shared" si="0"/>
        <v>477</v>
      </c>
      <c r="H18" s="198">
        <f t="shared" si="0"/>
        <v>244</v>
      </c>
      <c r="I18" s="401"/>
      <c r="J18" s="198">
        <f t="shared" si="0"/>
        <v>2351</v>
      </c>
      <c r="K18" s="401"/>
      <c r="L18" s="198">
        <f t="shared" si="0"/>
        <v>955</v>
      </c>
      <c r="M18" s="401"/>
      <c r="N18" s="219"/>
      <c r="O18" s="44"/>
      <c r="P18" s="219"/>
      <c r="R18" s="219"/>
    </row>
    <row r="19" spans="1:18" ht="12.75" customHeight="1" thickTop="1">
      <c r="A19" s="94"/>
      <c r="B19" s="74"/>
      <c r="C19" s="96"/>
      <c r="D19" s="96"/>
      <c r="E19" s="96"/>
      <c r="F19" s="185"/>
      <c r="G19" s="185"/>
      <c r="H19" s="185"/>
      <c r="I19" s="54"/>
      <c r="J19" s="54"/>
      <c r="K19" s="54"/>
      <c r="L19" s="54"/>
      <c r="M19" s="54"/>
      <c r="N19" s="185"/>
      <c r="R19" s="7"/>
    </row>
    <row r="20" spans="2:14" ht="12.75" customHeight="1">
      <c r="B20" s="77"/>
      <c r="C20"/>
      <c r="D20"/>
      <c r="E20"/>
      <c r="F20"/>
      <c r="G20"/>
      <c r="H20"/>
      <c r="I20"/>
      <c r="J20"/>
      <c r="N20" s="7"/>
    </row>
    <row r="21" spans="2:14" ht="12.75" customHeight="1">
      <c r="B21" s="74"/>
      <c r="C21"/>
      <c r="D21"/>
      <c r="E21"/>
      <c r="F21"/>
      <c r="G21"/>
      <c r="H21"/>
      <c r="I21"/>
      <c r="J21"/>
      <c r="N21" s="7"/>
    </row>
    <row r="22" spans="2:14" ht="12.75" customHeight="1">
      <c r="B22" s="77"/>
      <c r="C22"/>
      <c r="D22"/>
      <c r="E22"/>
      <c r="F22"/>
      <c r="G22"/>
      <c r="H22"/>
      <c r="I22"/>
      <c r="J22"/>
      <c r="N22" s="7"/>
    </row>
    <row r="23" spans="2:10" ht="12.75" customHeight="1">
      <c r="B23" s="7"/>
      <c r="C23"/>
      <c r="D23"/>
      <c r="E23"/>
      <c r="F23"/>
      <c r="G23"/>
      <c r="H23"/>
      <c r="I23"/>
      <c r="J23"/>
    </row>
    <row r="24" spans="2:10" ht="12.75" customHeight="1">
      <c r="B24" s="7"/>
      <c r="C24"/>
      <c r="D24"/>
      <c r="E24"/>
      <c r="F24"/>
      <c r="G24"/>
      <c r="H24"/>
      <c r="I24"/>
      <c r="J24"/>
    </row>
    <row r="25" spans="2:12" ht="4.5" customHeight="1">
      <c r="B25" s="7"/>
      <c r="C25"/>
      <c r="D25"/>
      <c r="E25"/>
      <c r="F25"/>
      <c r="G25"/>
      <c r="H25"/>
      <c r="I25"/>
      <c r="J25"/>
      <c r="L25" s="537"/>
    </row>
    <row r="26" spans="2:10" ht="12.75" customHeight="1">
      <c r="B26" s="7"/>
      <c r="C26"/>
      <c r="D26"/>
      <c r="E26"/>
      <c r="F26"/>
      <c r="G26"/>
      <c r="H26"/>
      <c r="I26"/>
      <c r="J26"/>
    </row>
    <row r="27" spans="2:10" ht="12.75" customHeight="1">
      <c r="B27" s="7"/>
      <c r="C27"/>
      <c r="D27"/>
      <c r="E27"/>
      <c r="F27"/>
      <c r="G27"/>
      <c r="H27"/>
      <c r="I27"/>
      <c r="J27"/>
    </row>
    <row r="28" spans="1:10" ht="12.75" customHeight="1">
      <c r="A28" s="98"/>
      <c r="B28" s="7"/>
      <c r="C28"/>
      <c r="D28"/>
      <c r="E28"/>
      <c r="F28"/>
      <c r="G28"/>
      <c r="H28"/>
      <c r="I28"/>
      <c r="J28"/>
    </row>
    <row r="29" spans="1:10" ht="12.75" customHeight="1">
      <c r="A29" s="98"/>
      <c r="B29" s="7"/>
      <c r="C29"/>
      <c r="D29"/>
      <c r="E29"/>
      <c r="F29"/>
      <c r="G29"/>
      <c r="H29"/>
      <c r="I29"/>
      <c r="J29"/>
    </row>
    <row r="30" spans="1:10" ht="12.75" customHeight="1">
      <c r="A30" s="98"/>
      <c r="B30" s="99"/>
      <c r="C30"/>
      <c r="D30"/>
      <c r="E30"/>
      <c r="F30"/>
      <c r="G30"/>
      <c r="H30"/>
      <c r="I30"/>
      <c r="J30"/>
    </row>
    <row r="31" spans="2:11" ht="12.75" customHeight="1">
      <c r="B31" s="7"/>
      <c r="C31"/>
      <c r="D31"/>
      <c r="E31"/>
      <c r="F31"/>
      <c r="G31"/>
      <c r="H31"/>
      <c r="I31"/>
      <c r="J31"/>
      <c r="K31" s="24"/>
    </row>
    <row r="32" ht="12.75" customHeight="1">
      <c r="A32" s="98"/>
    </row>
    <row r="33" ht="12.75" customHeight="1"/>
    <row r="34" ht="12.75" customHeight="1"/>
    <row r="35" ht="12.75" customHeight="1"/>
    <row r="36" ht="12.75" customHeight="1"/>
    <row r="37" ht="12.75" customHeight="1"/>
    <row r="38" ht="12.75" customHeight="1"/>
    <row r="39" ht="12.75" customHeight="1"/>
    <row r="40" ht="12.75" customHeight="1"/>
    <row r="41" ht="12.75" customHeight="1"/>
  </sheetData>
  <mergeCells count="9">
    <mergeCell ref="L6:M6"/>
    <mergeCell ref="C8:L8"/>
    <mergeCell ref="C9:L9"/>
    <mergeCell ref="C10:L10"/>
    <mergeCell ref="C5:E5"/>
    <mergeCell ref="A1:L1"/>
    <mergeCell ref="A2:L2"/>
    <mergeCell ref="A3:L3"/>
    <mergeCell ref="A4:L4"/>
  </mergeCells>
  <printOptions/>
  <pageMargins left="0.5" right="0.5" top="0.5" bottom="0.5" header="0.75" footer="0.25"/>
  <pageSetup horizontalDpi="600" verticalDpi="600" orientation="landscape" r:id="rId2"/>
  <headerFooter alignWithMargins="0">
    <oddFooter>&amp;L&amp;A&amp;R&amp;"Arial,Regular"&amp;8Page 25</oddFooter>
  </headerFooter>
  <drawing r:id="rId1"/>
</worksheet>
</file>

<file path=xl/worksheets/sheet28.xml><?xml version="1.0" encoding="utf-8"?>
<worksheet xmlns="http://schemas.openxmlformats.org/spreadsheetml/2006/main" xmlns:r="http://schemas.openxmlformats.org/officeDocument/2006/relationships">
  <sheetPr codeName="Sheet35"/>
  <dimension ref="A1:X36"/>
  <sheetViews>
    <sheetView workbookViewId="0" topLeftCell="A1">
      <selection activeCell="A5" sqref="A5"/>
    </sheetView>
  </sheetViews>
  <sheetFormatPr defaultColWidth="9.33203125" defaultRowHeight="12.75"/>
  <cols>
    <col min="1" max="1" width="2.83203125" style="1" customWidth="1"/>
    <col min="2" max="2" width="5.5" style="1" customWidth="1"/>
    <col min="3" max="3" width="38.16015625" style="1" customWidth="1"/>
    <col min="4" max="4" width="2.83203125" style="1" customWidth="1"/>
    <col min="5" max="5" width="15.83203125" style="1" customWidth="1"/>
    <col min="6" max="6" width="2.83203125" style="1" customWidth="1"/>
    <col min="7" max="7" width="15.83203125" style="1" customWidth="1"/>
    <col min="8" max="8" width="3.83203125" style="1" customWidth="1"/>
    <col min="9" max="9" width="15.83203125" style="1" customWidth="1"/>
    <col min="10" max="10" width="3.83203125" style="1" customWidth="1"/>
    <col min="11" max="11" width="15.5" style="1" customWidth="1"/>
    <col min="12" max="12" width="3.83203125" style="1" customWidth="1"/>
    <col min="13" max="13" width="15.5" style="1" customWidth="1"/>
    <col min="14" max="14" width="3.83203125" style="1" customWidth="1"/>
    <col min="15" max="15" width="15.5" style="1" customWidth="1"/>
    <col min="16" max="16" width="8.83203125" style="1" customWidth="1"/>
    <col min="17" max="20" width="8.16015625" style="1" customWidth="1"/>
    <col min="21" max="21" width="15.5" style="1" customWidth="1"/>
    <col min="22" max="22" width="14.33203125" style="1" bestFit="1" customWidth="1"/>
    <col min="23" max="16384" width="8.16015625" style="1" customWidth="1"/>
  </cols>
  <sheetData>
    <row r="1" spans="1:16" ht="12.75">
      <c r="A1" s="619" t="s">
        <v>96</v>
      </c>
      <c r="B1" s="619"/>
      <c r="C1" s="619"/>
      <c r="D1" s="619"/>
      <c r="E1" s="619"/>
      <c r="F1" s="619"/>
      <c r="G1" s="619"/>
      <c r="H1" s="619"/>
      <c r="I1" s="619"/>
      <c r="J1" s="619"/>
      <c r="K1" s="619"/>
      <c r="L1" s="619"/>
      <c r="M1" s="619"/>
      <c r="N1" s="619"/>
      <c r="O1" s="355"/>
      <c r="P1" s="355"/>
    </row>
    <row r="2" spans="1:16" ht="12">
      <c r="A2" s="618" t="s">
        <v>336</v>
      </c>
      <c r="B2" s="618"/>
      <c r="C2" s="618"/>
      <c r="D2" s="618"/>
      <c r="E2" s="618"/>
      <c r="F2" s="618"/>
      <c r="G2" s="618"/>
      <c r="H2" s="618"/>
      <c r="I2" s="618"/>
      <c r="J2" s="618"/>
      <c r="K2" s="618"/>
      <c r="L2" s="618"/>
      <c r="M2" s="618"/>
      <c r="N2" s="618"/>
      <c r="O2" s="56"/>
      <c r="P2" s="56"/>
    </row>
    <row r="3" spans="1:16" ht="12.75" customHeight="1">
      <c r="A3" s="648" t="s">
        <v>219</v>
      </c>
      <c r="B3" s="648"/>
      <c r="C3" s="648"/>
      <c r="D3" s="648"/>
      <c r="E3" s="648"/>
      <c r="F3" s="648"/>
      <c r="G3" s="648"/>
      <c r="H3" s="648"/>
      <c r="I3" s="648"/>
      <c r="J3" s="648"/>
      <c r="K3" s="648"/>
      <c r="L3" s="648"/>
      <c r="M3" s="648"/>
      <c r="N3" s="648"/>
      <c r="O3" s="563"/>
      <c r="P3" s="24"/>
    </row>
    <row r="4" spans="1:16" ht="12.75" customHeight="1">
      <c r="A4" s="648" t="s">
        <v>170</v>
      </c>
      <c r="B4" s="648"/>
      <c r="C4" s="648"/>
      <c r="D4" s="648"/>
      <c r="E4" s="648"/>
      <c r="F4" s="648"/>
      <c r="G4" s="648"/>
      <c r="H4" s="648"/>
      <c r="I4" s="648"/>
      <c r="J4" s="648"/>
      <c r="K4" s="648"/>
      <c r="L4" s="648"/>
      <c r="M4" s="648"/>
      <c r="N4" s="648"/>
      <c r="O4" s="563"/>
      <c r="P4" s="24"/>
    </row>
    <row r="5" spans="3:9" ht="11.25" customHeight="1">
      <c r="C5" s="645"/>
      <c r="D5" s="645"/>
      <c r="E5" s="645"/>
      <c r="F5" s="645"/>
      <c r="G5" s="645"/>
      <c r="H5" s="645"/>
      <c r="I5" s="645"/>
    </row>
    <row r="6" spans="1:13" ht="11.25">
      <c r="A6" s="2"/>
      <c r="B6" s="2"/>
      <c r="C6" s="24"/>
      <c r="D6" s="24"/>
      <c r="E6" s="24"/>
      <c r="F6" s="24"/>
      <c r="G6" s="24"/>
      <c r="H6" s="24"/>
      <c r="I6" s="24"/>
      <c r="J6" s="24"/>
      <c r="K6" s="24"/>
      <c r="L6" s="24"/>
      <c r="M6" s="24"/>
    </row>
    <row r="7" spans="1:16" ht="12.75">
      <c r="A7" s="2"/>
      <c r="B7" s="2"/>
      <c r="C7" s="228" t="s">
        <v>337</v>
      </c>
      <c r="D7" s="228"/>
      <c r="E7" s="228"/>
      <c r="F7" s="228"/>
      <c r="G7" s="228"/>
      <c r="H7" s="228"/>
      <c r="I7" s="228"/>
      <c r="J7" s="228"/>
      <c r="K7" s="228"/>
      <c r="L7" s="228"/>
      <c r="M7" s="228"/>
      <c r="N7"/>
      <c r="P7" s="162"/>
    </row>
    <row r="8" spans="1:16" ht="11.25">
      <c r="A8" s="2"/>
      <c r="B8" s="2"/>
      <c r="C8" s="2"/>
      <c r="D8" s="2"/>
      <c r="E8" s="2"/>
      <c r="F8" s="2"/>
      <c r="G8" s="2"/>
      <c r="H8" s="2"/>
      <c r="I8" s="2"/>
      <c r="J8" s="2"/>
      <c r="K8" s="2"/>
      <c r="L8" s="2"/>
      <c r="M8" s="2"/>
      <c r="P8" s="7"/>
    </row>
    <row r="9" spans="1:24" ht="11.25">
      <c r="A9" s="2"/>
      <c r="B9" s="2"/>
      <c r="C9" s="2"/>
      <c r="D9" s="2"/>
      <c r="E9" s="394" t="s">
        <v>221</v>
      </c>
      <c r="F9" s="2"/>
      <c r="G9" s="394" t="s">
        <v>410</v>
      </c>
      <c r="H9" s="2"/>
      <c r="I9" s="394" t="s">
        <v>402</v>
      </c>
      <c r="J9" s="2"/>
      <c r="K9" s="394" t="s">
        <v>222</v>
      </c>
      <c r="L9" s="2"/>
      <c r="M9" s="394" t="s">
        <v>221</v>
      </c>
      <c r="N9" s="44"/>
      <c r="O9" s="44"/>
      <c r="P9" s="77"/>
      <c r="R9" s="44"/>
      <c r="S9" s="44"/>
      <c r="T9" s="44"/>
      <c r="U9" s="394" t="s">
        <v>222</v>
      </c>
      <c r="V9" s="546" t="s">
        <v>410</v>
      </c>
      <c r="W9" s="44"/>
      <c r="X9" s="44"/>
    </row>
    <row r="10" spans="1:24" ht="11.25">
      <c r="A10" s="2"/>
      <c r="B10" s="2"/>
      <c r="C10" s="2"/>
      <c r="D10" s="2"/>
      <c r="E10" s="278" t="s">
        <v>358</v>
      </c>
      <c r="F10" s="2"/>
      <c r="G10" s="278" t="s">
        <v>358</v>
      </c>
      <c r="H10" s="2"/>
      <c r="I10" s="278" t="s">
        <v>358</v>
      </c>
      <c r="J10" s="2"/>
      <c r="K10" s="278" t="s">
        <v>358</v>
      </c>
      <c r="L10" s="2"/>
      <c r="M10" s="528" t="s">
        <v>280</v>
      </c>
      <c r="N10" s="44"/>
      <c r="O10" s="44"/>
      <c r="P10" s="77"/>
      <c r="R10" s="44"/>
      <c r="S10" s="44"/>
      <c r="T10" s="44"/>
      <c r="U10" s="528" t="s">
        <v>280</v>
      </c>
      <c r="V10" s="278" t="s">
        <v>280</v>
      </c>
      <c r="W10" s="44"/>
      <c r="X10" s="44"/>
    </row>
    <row r="11" spans="1:24" ht="11.25">
      <c r="A11" s="2"/>
      <c r="B11" s="2"/>
      <c r="C11" s="2"/>
      <c r="D11" s="2"/>
      <c r="E11" s="347"/>
      <c r="F11" s="2"/>
      <c r="G11" s="347"/>
      <c r="H11" s="2"/>
      <c r="I11" s="347"/>
      <c r="J11" s="2"/>
      <c r="K11" s="347"/>
      <c r="L11" s="2"/>
      <c r="M11" s="347"/>
      <c r="N11" s="44"/>
      <c r="O11" s="44"/>
      <c r="P11" s="77"/>
      <c r="R11" s="44"/>
      <c r="S11" s="44"/>
      <c r="T11" s="44"/>
      <c r="U11" s="347"/>
      <c r="V11" s="347"/>
      <c r="W11" s="44"/>
      <c r="X11" s="44"/>
    </row>
    <row r="12" spans="3:24" ht="11.25">
      <c r="C12" s="1" t="s">
        <v>121</v>
      </c>
      <c r="E12" s="34">
        <f>'Consol Bal Sheet'!E46</f>
        <v>14278</v>
      </c>
      <c r="G12" s="34">
        <f>'Consol Bal Sheet'!G46</f>
        <v>13511</v>
      </c>
      <c r="I12" s="34">
        <f>'Consol Bal Sheet'!I46</f>
        <v>12466</v>
      </c>
      <c r="K12" s="34">
        <f>'Consol Bal Sheet'!K46</f>
        <v>12157</v>
      </c>
      <c r="M12" s="34">
        <f>'Consol Bal Sheet'!M46</f>
        <v>11812</v>
      </c>
      <c r="N12" s="44"/>
      <c r="O12" s="44"/>
      <c r="P12" s="77"/>
      <c r="R12" s="44"/>
      <c r="S12" s="44"/>
      <c r="T12" s="44"/>
      <c r="U12" s="34">
        <v>9970</v>
      </c>
      <c r="V12" s="34">
        <v>10229</v>
      </c>
      <c r="W12" s="44"/>
      <c r="X12" s="44"/>
    </row>
    <row r="13" spans="3:24" ht="11.25">
      <c r="C13" s="16" t="s">
        <v>42</v>
      </c>
      <c r="D13" s="16"/>
      <c r="E13" s="396">
        <v>-557</v>
      </c>
      <c r="F13" s="16"/>
      <c r="G13" s="396">
        <v>-557</v>
      </c>
      <c r="H13" s="16"/>
      <c r="I13" s="396">
        <v>-557</v>
      </c>
      <c r="J13" s="16"/>
      <c r="K13" s="396">
        <v>-557</v>
      </c>
      <c r="L13" s="16"/>
      <c r="M13" s="396">
        <v>-557</v>
      </c>
      <c r="N13" s="44"/>
      <c r="O13" s="44"/>
      <c r="P13" s="77"/>
      <c r="R13" s="44"/>
      <c r="S13" s="44"/>
      <c r="T13" s="44"/>
      <c r="U13" s="396">
        <v>-557</v>
      </c>
      <c r="V13" s="396">
        <v>-557</v>
      </c>
      <c r="W13" s="44"/>
      <c r="X13" s="44"/>
    </row>
    <row r="14" spans="3:24" ht="11.25">
      <c r="C14" s="1" t="s">
        <v>338</v>
      </c>
      <c r="E14" s="40">
        <f>SUM(E12:E13)</f>
        <v>13721</v>
      </c>
      <c r="G14" s="40">
        <f>SUM(G12:G13)</f>
        <v>12954</v>
      </c>
      <c r="I14" s="40">
        <f>SUM(I12:I13)</f>
        <v>11909</v>
      </c>
      <c r="K14" s="40">
        <f>SUM(K12:K13)</f>
        <v>11600</v>
      </c>
      <c r="M14" s="40">
        <f>SUM(M12:M13)</f>
        <v>11255</v>
      </c>
      <c r="N14" s="44"/>
      <c r="O14" s="44"/>
      <c r="P14" s="77"/>
      <c r="R14" s="44"/>
      <c r="S14" s="44"/>
      <c r="T14" s="44"/>
      <c r="U14" s="40">
        <f>SUM(U12:U13)</f>
        <v>9413</v>
      </c>
      <c r="V14" s="40">
        <f>SUM(V12:V13)</f>
        <v>9672</v>
      </c>
      <c r="W14" s="44"/>
      <c r="X14" s="44"/>
    </row>
    <row r="15" spans="3:24" ht="11.25">
      <c r="C15" s="25" t="s">
        <v>37</v>
      </c>
      <c r="D15" s="25"/>
      <c r="E15" s="282">
        <f>'Consol Bal Sheet'!E22</f>
        <v>2731</v>
      </c>
      <c r="F15" s="25"/>
      <c r="G15" s="282">
        <f>'Consol Bal Sheet'!G22</f>
        <v>2655</v>
      </c>
      <c r="H15" s="25"/>
      <c r="I15" s="282">
        <f>'Consol Bal Sheet'!I22</f>
        <v>2703</v>
      </c>
      <c r="J15" s="25"/>
      <c r="K15" s="282">
        <f>'Consol Bal Sheet'!K22</f>
        <v>2703</v>
      </c>
      <c r="L15" s="25"/>
      <c r="M15" s="282">
        <f>'Consol Bal Sheet'!M22</f>
        <v>2703</v>
      </c>
      <c r="N15" s="44"/>
      <c r="O15" s="44"/>
      <c r="P15" s="77"/>
      <c r="R15" s="44"/>
      <c r="S15" s="44"/>
      <c r="T15" s="44"/>
      <c r="U15" s="282">
        <v>2695</v>
      </c>
      <c r="V15" s="282">
        <v>2703</v>
      </c>
      <c r="W15" s="44"/>
      <c r="X15" s="44"/>
    </row>
    <row r="16" spans="3:24" ht="12.75" customHeight="1" thickBot="1">
      <c r="C16" s="1" t="s">
        <v>339</v>
      </c>
      <c r="E16" s="397">
        <f>+E14-E15</f>
        <v>10990</v>
      </c>
      <c r="G16" s="397">
        <f>+G14-G15</f>
        <v>10299</v>
      </c>
      <c r="I16" s="397">
        <f>+I14-I15</f>
        <v>9206</v>
      </c>
      <c r="K16" s="397">
        <f>+K14-K15</f>
        <v>8897</v>
      </c>
      <c r="M16" s="397">
        <f>+M14-M15</f>
        <v>8552</v>
      </c>
      <c r="N16" s="44"/>
      <c r="O16" s="44"/>
      <c r="P16" s="77"/>
      <c r="R16" s="44"/>
      <c r="S16" s="44"/>
      <c r="T16" s="44"/>
      <c r="U16" s="397">
        <f>+U14-U15</f>
        <v>6718</v>
      </c>
      <c r="V16" s="397">
        <f>+V14-V15</f>
        <v>6969</v>
      </c>
      <c r="W16" s="44"/>
      <c r="X16" s="44"/>
    </row>
    <row r="17" spans="3:24" ht="13.5" thickTop="1">
      <c r="C17" s="54"/>
      <c r="D17" s="54"/>
      <c r="E17" s="148"/>
      <c r="F17" s="54"/>
      <c r="G17" s="148"/>
      <c r="H17" s="54"/>
      <c r="I17" s="148"/>
      <c r="J17" s="54"/>
      <c r="K17" s="148"/>
      <c r="L17" s="54"/>
      <c r="M17" s="148"/>
      <c r="N17" s="44"/>
      <c r="O17" s="44"/>
      <c r="P17" s="77"/>
      <c r="R17" s="44"/>
      <c r="S17" s="44"/>
      <c r="T17" s="44"/>
      <c r="U17" s="148"/>
      <c r="V17" s="148"/>
      <c r="W17" s="44"/>
      <c r="X17" s="44"/>
    </row>
    <row r="18" spans="3:24" ht="12.75">
      <c r="C18" s="54"/>
      <c r="D18" s="54"/>
      <c r="E18" s="525"/>
      <c r="F18" s="54"/>
      <c r="G18" s="525"/>
      <c r="H18" s="492"/>
      <c r="I18" s="525"/>
      <c r="J18" s="492"/>
      <c r="K18" s="525"/>
      <c r="L18" s="492"/>
      <c r="M18" s="525"/>
      <c r="N18" s="44"/>
      <c r="O18" s="44"/>
      <c r="P18" s="77"/>
      <c r="R18" s="44"/>
      <c r="S18" s="44"/>
      <c r="T18" s="44"/>
      <c r="U18" s="148"/>
      <c r="V18" s="148"/>
      <c r="W18" s="44"/>
      <c r="X18" s="44"/>
    </row>
    <row r="19" spans="3:22" ht="12" customHeight="1" thickBot="1">
      <c r="C19" s="16" t="s">
        <v>350</v>
      </c>
      <c r="D19" s="16"/>
      <c r="E19" s="542">
        <f>+'Earnings per share '!D23</f>
        <v>326455468</v>
      </c>
      <c r="F19" s="16"/>
      <c r="G19" s="542">
        <v>325956542</v>
      </c>
      <c r="H19" s="16"/>
      <c r="I19" s="542">
        <v>325371481</v>
      </c>
      <c r="J19" s="16"/>
      <c r="K19" s="542">
        <v>325143060</v>
      </c>
      <c r="M19" s="542">
        <v>323322586</v>
      </c>
      <c r="P19" s="7"/>
      <c r="U19" s="495">
        <v>287353327</v>
      </c>
      <c r="V19" s="495">
        <v>288672450</v>
      </c>
    </row>
    <row r="20" spans="3:22" ht="13.5" thickTop="1">
      <c r="C20" s="54"/>
      <c r="D20" s="54"/>
      <c r="E20" s="148"/>
      <c r="F20" s="54"/>
      <c r="G20" s="148"/>
      <c r="H20" s="54"/>
      <c r="I20" s="148"/>
      <c r="J20" s="54"/>
      <c r="K20" s="148"/>
      <c r="L20" s="54"/>
      <c r="M20" s="148"/>
      <c r="P20" s="7"/>
      <c r="U20" s="148"/>
      <c r="V20" s="148"/>
    </row>
    <row r="21" spans="3:22" ht="11.25">
      <c r="C21" s="16" t="s">
        <v>237</v>
      </c>
      <c r="D21" s="16"/>
      <c r="E21" s="399">
        <f>+E14/(E19/1000000)</f>
        <v>42.03023488643174</v>
      </c>
      <c r="F21" s="16"/>
      <c r="G21" s="399">
        <f>+G14/(G19/1000000)</f>
        <v>39.74149412837985</v>
      </c>
      <c r="H21" s="16"/>
      <c r="I21" s="399">
        <f>+I14/(I19/1000000)</f>
        <v>36.60124102886571</v>
      </c>
      <c r="J21" s="16"/>
      <c r="K21" s="399">
        <f>+K14/(K19/1000000)</f>
        <v>35.67660340036168</v>
      </c>
      <c r="L21" s="16"/>
      <c r="M21" s="399">
        <f>+M14/(M19/1000000)</f>
        <v>34.81043542067921</v>
      </c>
      <c r="P21" s="7"/>
      <c r="U21" s="399">
        <f>+U14/(U19/1000000)</f>
        <v>32.75758140082367</v>
      </c>
      <c r="V21" s="399">
        <f>+V14/(V19/1000000)</f>
        <v>33.5051024093224</v>
      </c>
    </row>
    <row r="22" spans="3:22" ht="11.25">
      <c r="C22" s="16" t="s">
        <v>335</v>
      </c>
      <c r="D22" s="16"/>
      <c r="E22" s="399">
        <f>+E16/(E19/1000000)</f>
        <v>33.664622214261705</v>
      </c>
      <c r="F22" s="16"/>
      <c r="G22" s="399">
        <f>+G16/(G19/1000000)</f>
        <v>31.596236531433075</v>
      </c>
      <c r="H22" s="16"/>
      <c r="I22" s="399">
        <f>+I16/(I19/1000000)</f>
        <v>28.293813494981755</v>
      </c>
      <c r="J22" s="16"/>
      <c r="K22" s="399">
        <f>+K16/(K19/1000000)+0.01</f>
        <v>27.373339694225677</v>
      </c>
      <c r="L22" s="16"/>
      <c r="M22" s="399">
        <f>+M16/(M19/1000000)</f>
        <v>26.45036372435794</v>
      </c>
      <c r="P22" s="7"/>
      <c r="U22" s="399">
        <f>+U16/(U19/1000000)</f>
        <v>23.378883655660616</v>
      </c>
      <c r="V22" s="399">
        <f>+V16/(V19/1000000)</f>
        <v>24.14154866527789</v>
      </c>
    </row>
    <row r="23" ht="11.25">
      <c r="V23" s="399"/>
    </row>
    <row r="24" spans="3:22" ht="12.75">
      <c r="C24"/>
      <c r="D24"/>
      <c r="E24"/>
      <c r="F24"/>
      <c r="G24"/>
      <c r="H24"/>
      <c r="I24"/>
      <c r="J24"/>
      <c r="K24"/>
      <c r="L24"/>
      <c r="M24"/>
      <c r="V24" s="399"/>
    </row>
    <row r="25" spans="3:22" ht="12.75">
      <c r="C25"/>
      <c r="D25"/>
      <c r="E25"/>
      <c r="F25"/>
      <c r="G25"/>
      <c r="H25"/>
      <c r="I25"/>
      <c r="J25"/>
      <c r="K25"/>
      <c r="L25"/>
      <c r="M25"/>
      <c r="N25" s="520"/>
      <c r="V25" s="399"/>
    </row>
    <row r="26" spans="3:13" ht="12.75">
      <c r="C26"/>
      <c r="D26"/>
      <c r="E26"/>
      <c r="F26"/>
      <c r="G26"/>
      <c r="H26"/>
      <c r="I26"/>
      <c r="J26"/>
      <c r="K26"/>
      <c r="L26"/>
      <c r="M26"/>
    </row>
    <row r="27" spans="3:13" ht="12.75">
      <c r="C27"/>
      <c r="D27"/>
      <c r="E27"/>
      <c r="F27"/>
      <c r="G27"/>
      <c r="H27"/>
      <c r="I27"/>
      <c r="J27"/>
      <c r="K27"/>
      <c r="L27"/>
      <c r="M27"/>
    </row>
    <row r="28" spans="3:13" ht="12.75">
      <c r="C28"/>
      <c r="D28"/>
      <c r="E28"/>
      <c r="F28"/>
      <c r="G28"/>
      <c r="H28"/>
      <c r="I28"/>
      <c r="J28"/>
      <c r="K28"/>
      <c r="L28"/>
      <c r="M28"/>
    </row>
    <row r="29" spans="3:13" ht="12.75">
      <c r="C29"/>
      <c r="D29"/>
      <c r="E29"/>
      <c r="F29"/>
      <c r="G29"/>
      <c r="H29"/>
      <c r="I29"/>
      <c r="J29"/>
      <c r="K29"/>
      <c r="L29"/>
      <c r="M29"/>
    </row>
    <row r="30" spans="3:13" ht="12.75">
      <c r="C30"/>
      <c r="D30"/>
      <c r="E30"/>
      <c r="F30"/>
      <c r="G30"/>
      <c r="H30"/>
      <c r="I30"/>
      <c r="J30"/>
      <c r="K30"/>
      <c r="L30"/>
      <c r="M30"/>
    </row>
    <row r="31" spans="3:13" ht="12.75">
      <c r="C31"/>
      <c r="D31"/>
      <c r="E31"/>
      <c r="F31"/>
      <c r="G31"/>
      <c r="H31"/>
      <c r="I31"/>
      <c r="J31"/>
      <c r="K31"/>
      <c r="L31"/>
      <c r="M31"/>
    </row>
    <row r="32" spans="3:13" ht="12.75">
      <c r="C32"/>
      <c r="D32"/>
      <c r="E32"/>
      <c r="F32"/>
      <c r="G32"/>
      <c r="H32"/>
      <c r="I32"/>
      <c r="J32"/>
      <c r="K32"/>
      <c r="L32"/>
      <c r="M32"/>
    </row>
    <row r="33" spans="3:13" ht="12.75">
      <c r="C33"/>
      <c r="D33"/>
      <c r="E33"/>
      <c r="F33"/>
      <c r="G33"/>
      <c r="H33"/>
      <c r="I33"/>
      <c r="J33"/>
      <c r="K33"/>
      <c r="L33"/>
      <c r="M33"/>
    </row>
    <row r="34" spans="3:13" ht="22.5" customHeight="1">
      <c r="C34"/>
      <c r="D34"/>
      <c r="E34"/>
      <c r="F34"/>
      <c r="G34"/>
      <c r="H34"/>
      <c r="I34"/>
      <c r="J34"/>
      <c r="K34"/>
      <c r="L34"/>
      <c r="M34"/>
    </row>
    <row r="35" spans="3:13" ht="12.75">
      <c r="C35"/>
      <c r="D35"/>
      <c r="E35"/>
      <c r="F35"/>
      <c r="G35"/>
      <c r="H35"/>
      <c r="I35"/>
      <c r="J35"/>
      <c r="K35"/>
      <c r="L35"/>
      <c r="M35"/>
    </row>
    <row r="36" spans="3:13" ht="12.75">
      <c r="C36"/>
      <c r="D36"/>
      <c r="E36"/>
      <c r="F36"/>
      <c r="G36"/>
      <c r="H36"/>
      <c r="I36"/>
      <c r="J36"/>
      <c r="K36"/>
      <c r="L36"/>
      <c r="M36"/>
    </row>
  </sheetData>
  <mergeCells count="5">
    <mergeCell ref="C5:I5"/>
    <mergeCell ref="A1:N1"/>
    <mergeCell ref="A2:N2"/>
    <mergeCell ref="A3:N3"/>
    <mergeCell ref="A4:N4"/>
  </mergeCells>
  <printOptions/>
  <pageMargins left="0.5" right="0.5" top="0.5" bottom="0.48" header="0.75" footer="0.28"/>
  <pageSetup horizontalDpi="600" verticalDpi="600" orientation="landscape" r:id="rId2"/>
  <headerFooter alignWithMargins="0">
    <oddFooter>&amp;L&amp;A&amp;R&amp;"Arial,Regular"&amp;8Page 26</oddFooter>
  </headerFooter>
  <drawing r:id="rId1"/>
</worksheet>
</file>

<file path=xl/worksheets/sheet29.xml><?xml version="1.0" encoding="utf-8"?>
<worksheet xmlns="http://schemas.openxmlformats.org/spreadsheetml/2006/main" xmlns:r="http://schemas.openxmlformats.org/officeDocument/2006/relationships">
  <sheetPr codeName="Sheet6"/>
  <dimension ref="A1:W24"/>
  <sheetViews>
    <sheetView workbookViewId="0" topLeftCell="A1">
      <selection activeCell="A6" sqref="A6"/>
    </sheetView>
  </sheetViews>
  <sheetFormatPr defaultColWidth="9.33203125" defaultRowHeight="12.75"/>
  <cols>
    <col min="1" max="1" width="2.83203125" style="54" customWidth="1"/>
    <col min="2" max="2" width="3.66015625" style="54" customWidth="1"/>
    <col min="3" max="6" width="9.33203125" style="54" customWidth="1"/>
    <col min="7" max="7" width="11.83203125" style="54" customWidth="1"/>
    <col min="8" max="12" width="9.83203125" style="54" customWidth="1"/>
    <col min="13" max="13" width="2.33203125" style="54" customWidth="1"/>
    <col min="14" max="14" width="9.83203125" style="54" customWidth="1"/>
    <col min="15" max="15" width="2.33203125" style="54" customWidth="1"/>
    <col min="16" max="16" width="9.83203125" style="54" customWidth="1"/>
    <col min="17" max="17" width="2.33203125" style="54" customWidth="1"/>
    <col min="18" max="19" width="9.83203125" style="54" customWidth="1"/>
    <col min="20" max="20" width="2.33203125" style="54" customWidth="1"/>
    <col min="21" max="22" width="11.66015625" style="54" customWidth="1"/>
    <col min="23" max="23" width="10" style="54" bestFit="1" customWidth="1"/>
    <col min="24" max="16384" width="9.33203125" style="54" customWidth="1"/>
  </cols>
  <sheetData>
    <row r="1" spans="1:19" ht="12.75">
      <c r="A1" s="593" t="s">
        <v>96</v>
      </c>
      <c r="B1" s="593"/>
      <c r="C1" s="593"/>
      <c r="D1" s="593"/>
      <c r="E1" s="593"/>
      <c r="F1" s="593"/>
      <c r="G1" s="593"/>
      <c r="H1" s="593"/>
      <c r="I1" s="593"/>
      <c r="J1" s="593"/>
      <c r="K1" s="593"/>
      <c r="L1" s="593"/>
      <c r="M1" s="593"/>
      <c r="N1" s="593"/>
      <c r="O1" s="593"/>
      <c r="P1" s="593"/>
      <c r="Q1" s="286"/>
      <c r="R1" s="286"/>
      <c r="S1" s="286"/>
    </row>
    <row r="2" spans="1:19" ht="12.75">
      <c r="A2" s="589" t="s">
        <v>259</v>
      </c>
      <c r="B2" s="589"/>
      <c r="C2" s="589"/>
      <c r="D2" s="589"/>
      <c r="E2" s="589"/>
      <c r="F2" s="589"/>
      <c r="G2" s="589"/>
      <c r="H2" s="589"/>
      <c r="I2" s="589"/>
      <c r="J2" s="589"/>
      <c r="K2" s="589"/>
      <c r="L2" s="589"/>
      <c r="M2" s="589"/>
      <c r="N2" s="589"/>
      <c r="O2" s="589"/>
      <c r="P2" s="589"/>
      <c r="Q2" s="288"/>
      <c r="R2" s="288"/>
      <c r="S2" s="288"/>
    </row>
    <row r="3" spans="1:19" ht="12.75">
      <c r="A3" s="595" t="s">
        <v>154</v>
      </c>
      <c r="B3" s="595"/>
      <c r="C3" s="595"/>
      <c r="D3" s="595"/>
      <c r="E3" s="595"/>
      <c r="F3" s="595"/>
      <c r="G3" s="595"/>
      <c r="H3" s="595"/>
      <c r="I3" s="595"/>
      <c r="J3" s="595"/>
      <c r="K3" s="595"/>
      <c r="L3" s="595"/>
      <c r="M3" s="595"/>
      <c r="N3" s="595"/>
      <c r="O3" s="595"/>
      <c r="P3" s="595"/>
      <c r="Q3" s="287"/>
      <c r="R3" s="287"/>
      <c r="S3" s="287"/>
    </row>
    <row r="4" spans="1:19" ht="12.75">
      <c r="A4" s="595" t="s">
        <v>170</v>
      </c>
      <c r="B4" s="595"/>
      <c r="C4" s="595"/>
      <c r="D4" s="595"/>
      <c r="E4" s="595"/>
      <c r="F4" s="595"/>
      <c r="G4" s="595"/>
      <c r="H4" s="595"/>
      <c r="I4" s="595"/>
      <c r="J4" s="595"/>
      <c r="K4" s="595"/>
      <c r="L4" s="595"/>
      <c r="M4" s="595"/>
      <c r="N4" s="595"/>
      <c r="O4" s="595"/>
      <c r="P4" s="595"/>
      <c r="Q4" s="287"/>
      <c r="R4" s="287"/>
      <c r="S4" s="287"/>
    </row>
    <row r="5" spans="4:12" ht="9" customHeight="1">
      <c r="D5" s="70"/>
      <c r="E5" s="70"/>
      <c r="F5" s="70"/>
      <c r="G5" s="70"/>
      <c r="H5" s="70"/>
      <c r="I5" s="70"/>
      <c r="J5" s="71"/>
      <c r="K5" s="71"/>
      <c r="L5" s="71"/>
    </row>
    <row r="6" spans="3:19" ht="14.25" customHeight="1">
      <c r="C6" s="645"/>
      <c r="D6" s="645"/>
      <c r="E6" s="645"/>
      <c r="F6" s="15"/>
      <c r="G6" s="15"/>
      <c r="H6" s="15"/>
      <c r="J6" s="44"/>
      <c r="K6" s="44"/>
      <c r="M6" s="56"/>
      <c r="N6" s="2" t="s">
        <v>19</v>
      </c>
      <c r="O6" s="56"/>
      <c r="P6" s="2" t="s">
        <v>19</v>
      </c>
      <c r="Q6" s="56"/>
      <c r="R6" s="2"/>
      <c r="S6" s="2"/>
    </row>
    <row r="7" spans="3:19" ht="12.75">
      <c r="C7" s="250" t="s">
        <v>245</v>
      </c>
      <c r="H7" s="4" t="s">
        <v>432</v>
      </c>
      <c r="I7" s="4" t="s">
        <v>408</v>
      </c>
      <c r="J7" s="4" t="s">
        <v>404</v>
      </c>
      <c r="K7" s="4" t="s">
        <v>356</v>
      </c>
      <c r="L7" s="4" t="s">
        <v>2</v>
      </c>
      <c r="M7" s="1"/>
      <c r="N7" s="6">
        <v>2006</v>
      </c>
      <c r="O7" s="1"/>
      <c r="P7" s="6">
        <v>2005</v>
      </c>
      <c r="Q7" s="1"/>
      <c r="R7" s="124"/>
      <c r="S7" s="124"/>
    </row>
    <row r="8" spans="3:19" ht="12.75">
      <c r="C8" s="250"/>
      <c r="H8" s="5"/>
      <c r="I8" s="5"/>
      <c r="J8" s="170"/>
      <c r="K8" s="170"/>
      <c r="L8" s="170"/>
      <c r="M8" s="1"/>
      <c r="N8" s="124"/>
      <c r="O8" s="1"/>
      <c r="P8" s="124"/>
      <c r="Q8" s="1"/>
      <c r="R8" s="124"/>
      <c r="S8" s="124"/>
    </row>
    <row r="9" spans="3:23" ht="13.5" customHeight="1">
      <c r="C9" s="176" t="s">
        <v>273</v>
      </c>
      <c r="H9" s="219">
        <f>'Financial Highlights'!E18</f>
        <v>665</v>
      </c>
      <c r="I9" s="219">
        <f>+'Reconciliation Non-GAAP'!E14</f>
        <v>578</v>
      </c>
      <c r="J9" s="219">
        <f>+'Reconciliation Non-GAAP'!F14</f>
        <v>573</v>
      </c>
      <c r="K9" s="219">
        <f>+'Reconciliation Non-GAAP'!G14</f>
        <v>489</v>
      </c>
      <c r="L9" s="219">
        <f>+'Reconciliation Non-GAAP'!H14</f>
        <v>236</v>
      </c>
      <c r="M9" s="35"/>
      <c r="N9" s="219">
        <f>+I9+H9+J9+K9</f>
        <v>2305</v>
      </c>
      <c r="O9" s="35"/>
      <c r="P9" s="219">
        <v>1028</v>
      </c>
      <c r="Q9" s="35"/>
      <c r="R9" s="219"/>
      <c r="S9" s="219"/>
      <c r="T9" s="148"/>
      <c r="U9" s="148"/>
      <c r="V9" s="148"/>
      <c r="W9" s="148"/>
    </row>
    <row r="10" spans="3:23" ht="12" customHeight="1">
      <c r="C10" s="97" t="s">
        <v>246</v>
      </c>
      <c r="H10" s="273"/>
      <c r="I10" s="273"/>
      <c r="J10" s="273"/>
      <c r="K10" s="273"/>
      <c r="L10" s="273"/>
      <c r="M10" s="44"/>
      <c r="N10" s="369"/>
      <c r="O10" s="44"/>
      <c r="P10" s="369"/>
      <c r="Q10" s="44"/>
      <c r="R10" s="273"/>
      <c r="S10" s="273"/>
      <c r="T10" s="148"/>
      <c r="U10" s="148"/>
      <c r="V10" s="148"/>
      <c r="W10" s="148"/>
    </row>
    <row r="11" spans="3:23" ht="13.5" customHeight="1">
      <c r="C11" s="97" t="s">
        <v>45</v>
      </c>
      <c r="H11" s="363">
        <v>132</v>
      </c>
      <c r="I11" s="363">
        <v>541</v>
      </c>
      <c r="J11" s="363">
        <v>-266</v>
      </c>
      <c r="K11" s="371">
        <v>-118</v>
      </c>
      <c r="L11" s="371">
        <v>-115</v>
      </c>
      <c r="M11" s="44"/>
      <c r="N11" s="393">
        <f>+I11+H11+J11+K11</f>
        <v>289</v>
      </c>
      <c r="O11" s="44"/>
      <c r="P11" s="393">
        <v>-251</v>
      </c>
      <c r="Q11" s="44"/>
      <c r="R11" s="371"/>
      <c r="S11" s="371"/>
      <c r="T11" s="148"/>
      <c r="U11" s="148"/>
      <c r="V11" s="148"/>
      <c r="W11" s="148"/>
    </row>
    <row r="12" spans="3:23" ht="13.5" customHeight="1">
      <c r="C12" s="7" t="s">
        <v>250</v>
      </c>
      <c r="E12" s="148"/>
      <c r="F12" s="148"/>
      <c r="G12" s="148"/>
      <c r="H12" s="363"/>
      <c r="I12" s="363"/>
      <c r="J12" s="363"/>
      <c r="K12" s="371"/>
      <c r="L12" s="371"/>
      <c r="M12" s="44"/>
      <c r="N12" s="393"/>
      <c r="O12" s="44"/>
      <c r="P12" s="393"/>
      <c r="Q12" s="44"/>
      <c r="R12" s="371"/>
      <c r="S12" s="371"/>
      <c r="T12" s="148"/>
      <c r="U12" s="148"/>
      <c r="V12" s="148"/>
      <c r="W12" s="148"/>
    </row>
    <row r="13" spans="3:23" ht="13.5" customHeight="1">
      <c r="C13" s="7" t="s">
        <v>50</v>
      </c>
      <c r="E13" s="148"/>
      <c r="F13" s="148"/>
      <c r="G13" s="148"/>
      <c r="H13" s="363">
        <v>-6</v>
      </c>
      <c r="I13" s="363">
        <v>82</v>
      </c>
      <c r="J13" s="363">
        <v>3</v>
      </c>
      <c r="K13" s="371">
        <v>-15</v>
      </c>
      <c r="L13" s="371">
        <v>16</v>
      </c>
      <c r="M13" s="44"/>
      <c r="N13" s="393">
        <f>+I13+H13+J13+K13</f>
        <v>64</v>
      </c>
      <c r="O13" s="44"/>
      <c r="P13" s="393">
        <v>-135</v>
      </c>
      <c r="Q13" s="44"/>
      <c r="R13" s="371"/>
      <c r="S13" s="371"/>
      <c r="T13" s="148"/>
      <c r="U13" s="148"/>
      <c r="V13" s="148"/>
      <c r="W13" s="148"/>
    </row>
    <row r="14" spans="3:23" ht="13.5" customHeight="1">
      <c r="C14" s="7" t="s">
        <v>400</v>
      </c>
      <c r="E14" s="148"/>
      <c r="F14" s="148"/>
      <c r="G14" s="148"/>
      <c r="H14" s="363">
        <v>46</v>
      </c>
      <c r="I14" s="363">
        <v>15</v>
      </c>
      <c r="J14" s="363">
        <v>50</v>
      </c>
      <c r="K14" s="371">
        <v>24</v>
      </c>
      <c r="L14" s="371">
        <v>-35</v>
      </c>
      <c r="M14" s="44"/>
      <c r="N14" s="393">
        <f>+I14+H14+J14+K14</f>
        <v>135</v>
      </c>
      <c r="O14" s="44"/>
      <c r="P14" s="393">
        <v>-139</v>
      </c>
      <c r="Q14" s="44"/>
      <c r="R14" s="371"/>
      <c r="S14" s="371"/>
      <c r="T14" s="148"/>
      <c r="U14" s="148"/>
      <c r="V14" s="148"/>
      <c r="W14" s="148"/>
    </row>
    <row r="15" spans="3:23" ht="13.5" customHeight="1">
      <c r="C15" s="7" t="s">
        <v>174</v>
      </c>
      <c r="E15" s="148"/>
      <c r="F15" s="148"/>
      <c r="G15" s="148"/>
      <c r="H15" s="363">
        <v>13</v>
      </c>
      <c r="I15" s="363">
        <v>-5</v>
      </c>
      <c r="J15" s="363">
        <v>-3</v>
      </c>
      <c r="K15" s="371">
        <v>-1</v>
      </c>
      <c r="L15" s="371">
        <v>1</v>
      </c>
      <c r="M15" s="44"/>
      <c r="N15" s="393">
        <f>+I15+H15+J15+K15</f>
        <v>4</v>
      </c>
      <c r="O15" s="44"/>
      <c r="P15" s="393">
        <v>8</v>
      </c>
      <c r="Q15" s="44"/>
      <c r="R15" s="371"/>
      <c r="S15" s="371"/>
      <c r="T15" s="148"/>
      <c r="U15" s="148"/>
      <c r="V15" s="148"/>
      <c r="W15" s="148"/>
    </row>
    <row r="16" spans="3:23" ht="13.5" customHeight="1">
      <c r="C16" s="7" t="s">
        <v>140</v>
      </c>
      <c r="E16" s="148"/>
      <c r="F16" s="148"/>
      <c r="G16" s="148"/>
      <c r="H16" s="363"/>
      <c r="I16" s="363"/>
      <c r="J16" s="363"/>
      <c r="K16" s="371"/>
      <c r="L16" s="371"/>
      <c r="M16" s="44"/>
      <c r="N16" s="393"/>
      <c r="O16" s="44"/>
      <c r="P16" s="393"/>
      <c r="Q16" s="44"/>
      <c r="R16" s="371"/>
      <c r="S16" s="371"/>
      <c r="T16" s="148"/>
      <c r="U16" s="148"/>
      <c r="V16" s="148"/>
      <c r="W16" s="148"/>
    </row>
    <row r="17" spans="3:23" ht="13.5" customHeight="1">
      <c r="C17" s="7" t="s">
        <v>141</v>
      </c>
      <c r="E17" s="148"/>
      <c r="F17" s="148"/>
      <c r="G17" s="148"/>
      <c r="H17" s="363">
        <v>-37</v>
      </c>
      <c r="I17" s="363">
        <v>-117</v>
      </c>
      <c r="J17" s="363">
        <v>18</v>
      </c>
      <c r="K17" s="371">
        <v>28</v>
      </c>
      <c r="L17" s="371">
        <v>24</v>
      </c>
      <c r="M17" s="44"/>
      <c r="N17" s="393">
        <f>+I17+H17+J17+K17</f>
        <v>-108</v>
      </c>
      <c r="O17" s="44"/>
      <c r="P17" s="393">
        <v>115</v>
      </c>
      <c r="Q17" s="44"/>
      <c r="R17" s="371"/>
      <c r="S17" s="371"/>
      <c r="T17" s="148"/>
      <c r="U17" s="148"/>
      <c r="V17" s="148"/>
      <c r="W17" s="148"/>
    </row>
    <row r="18" spans="3:23" ht="13.5" customHeight="1">
      <c r="C18" s="7" t="s">
        <v>74</v>
      </c>
      <c r="E18" s="148"/>
      <c r="F18" s="148"/>
      <c r="G18" s="148"/>
      <c r="H18" s="281">
        <f>SUM(H11:H17)</f>
        <v>148</v>
      </c>
      <c r="I18" s="281">
        <f>SUM(I11:I17)</f>
        <v>516</v>
      </c>
      <c r="J18" s="281">
        <f>SUM(J11:J17)</f>
        <v>-198</v>
      </c>
      <c r="K18" s="281">
        <f>SUM(K11:K17)</f>
        <v>-82</v>
      </c>
      <c r="L18" s="281">
        <f>SUM(L11:L17)</f>
        <v>-109</v>
      </c>
      <c r="M18" s="44"/>
      <c r="N18" s="281">
        <f>SUM(N11:N17)</f>
        <v>384</v>
      </c>
      <c r="O18" s="44"/>
      <c r="P18" s="281">
        <f>SUM(P11:P17)</f>
        <v>-402</v>
      </c>
      <c r="Q18" s="44"/>
      <c r="R18" s="491"/>
      <c r="S18" s="491"/>
      <c r="T18" s="148"/>
      <c r="U18" s="148"/>
      <c r="V18" s="148"/>
      <c r="W18" s="148"/>
    </row>
    <row r="19" spans="3:23" ht="13.5" customHeight="1" thickBot="1">
      <c r="C19" s="230" t="s">
        <v>5</v>
      </c>
      <c r="E19" s="148"/>
      <c r="F19" s="148"/>
      <c r="G19" s="148"/>
      <c r="H19" s="198">
        <f>SUM(H9:H17)</f>
        <v>813</v>
      </c>
      <c r="I19" s="198">
        <f>SUM(I9:I17)</f>
        <v>1094</v>
      </c>
      <c r="J19" s="198">
        <f>SUM(J9:J17)</f>
        <v>375</v>
      </c>
      <c r="K19" s="198">
        <f>SUM(K9:K17)</f>
        <v>407</v>
      </c>
      <c r="L19" s="198">
        <f>SUM(L9:L17)</f>
        <v>127</v>
      </c>
      <c r="M19" s="35"/>
      <c r="N19" s="198">
        <f>SUM(N9:N17)</f>
        <v>2689</v>
      </c>
      <c r="O19" s="35"/>
      <c r="P19" s="198">
        <f>SUM(P9:P17)</f>
        <v>626</v>
      </c>
      <c r="Q19" s="35"/>
      <c r="R19" s="219"/>
      <c r="S19" s="219"/>
      <c r="T19" s="148"/>
      <c r="U19" s="148"/>
      <c r="V19" s="148"/>
      <c r="W19" s="148"/>
    </row>
    <row r="20" spans="5:19" ht="13.5" thickTop="1">
      <c r="E20" s="148"/>
      <c r="F20" s="148"/>
      <c r="G20" s="148"/>
      <c r="H20" s="148"/>
      <c r="I20" s="148"/>
      <c r="R20" s="492"/>
      <c r="S20" s="492"/>
    </row>
    <row r="21" spans="5:9" ht="12.75">
      <c r="E21" s="148"/>
      <c r="F21" s="148"/>
      <c r="G21" s="148"/>
      <c r="H21" s="148"/>
      <c r="I21" s="148"/>
    </row>
    <row r="22" spans="5:9" ht="12.75">
      <c r="E22" s="148"/>
      <c r="F22" s="148"/>
      <c r="G22" s="148"/>
      <c r="H22" s="400"/>
      <c r="I22" s="400"/>
    </row>
    <row r="23" spans="5:9" ht="12.75">
      <c r="E23" s="148"/>
      <c r="F23" s="148"/>
      <c r="G23" s="148"/>
      <c r="H23" s="148"/>
      <c r="I23" s="148"/>
    </row>
    <row r="24" spans="5:9" ht="12.75">
      <c r="E24" s="148"/>
      <c r="F24" s="148"/>
      <c r="G24" s="148"/>
      <c r="H24" s="148"/>
      <c r="I24" s="148"/>
    </row>
  </sheetData>
  <mergeCells count="5">
    <mergeCell ref="A1:P1"/>
    <mergeCell ref="C6:E6"/>
    <mergeCell ref="A4:P4"/>
    <mergeCell ref="A3:P3"/>
    <mergeCell ref="A2:P2"/>
  </mergeCells>
  <printOptions/>
  <pageMargins left="0.5" right="0.5" top="0.5" bottom="0.57" header="0.75" footer="0.33"/>
  <pageSetup horizontalDpi="600" verticalDpi="600" orientation="landscape" r:id="rId2"/>
  <headerFooter alignWithMargins="0">
    <oddFooter>&amp;L&amp;A&amp;R&amp;"Arial,Regular"&amp;8Page 27</oddFooter>
  </headerFooter>
  <drawing r:id="rId1"/>
</worksheet>
</file>

<file path=xl/worksheets/sheet3.xml><?xml version="1.0" encoding="utf-8"?>
<worksheet xmlns="http://schemas.openxmlformats.org/spreadsheetml/2006/main" xmlns:r="http://schemas.openxmlformats.org/officeDocument/2006/relationships">
  <sheetPr codeName="Sheet3"/>
  <dimension ref="B1:V110"/>
  <sheetViews>
    <sheetView workbookViewId="0" topLeftCell="A1">
      <selection activeCell="A6" sqref="A6"/>
    </sheetView>
  </sheetViews>
  <sheetFormatPr defaultColWidth="9.33203125" defaultRowHeight="12.75"/>
  <cols>
    <col min="1" max="1" width="3.33203125" style="1" customWidth="1"/>
    <col min="2" max="2" width="2.83203125" style="1" customWidth="1"/>
    <col min="3" max="3" width="53.33203125" style="1" customWidth="1"/>
    <col min="4" max="4" width="2.16015625" style="1" customWidth="1"/>
    <col min="5" max="5" width="10.83203125" style="1" customWidth="1"/>
    <col min="6" max="6" width="3.83203125" style="1" customWidth="1"/>
    <col min="7" max="7" width="10.83203125" style="1" customWidth="1"/>
    <col min="8" max="8" width="3.83203125" style="1" customWidth="1"/>
    <col min="9" max="9" width="8.83203125" style="1" customWidth="1"/>
    <col min="10" max="10" width="3.83203125" style="1" customWidth="1"/>
    <col min="11" max="11" width="10.83203125" style="1" customWidth="1"/>
    <col min="12" max="12" width="3.83203125" style="1" customWidth="1"/>
    <col min="13" max="13" width="10.83203125" style="1" customWidth="1"/>
    <col min="14" max="14" width="4.5" style="1" customWidth="1"/>
    <col min="15" max="15" width="8.83203125" style="1" customWidth="1"/>
    <col min="16" max="16" width="5.5" style="1" customWidth="1"/>
    <col min="17" max="16384" width="8.16015625" style="1" customWidth="1"/>
  </cols>
  <sheetData>
    <row r="1" spans="3:22" ht="12.75">
      <c r="C1" s="619" t="s">
        <v>96</v>
      </c>
      <c r="D1" s="619"/>
      <c r="E1" s="619"/>
      <c r="F1" s="619"/>
      <c r="G1" s="619"/>
      <c r="H1" s="619"/>
      <c r="I1" s="619"/>
      <c r="J1" s="619"/>
      <c r="K1" s="619"/>
      <c r="L1" s="619"/>
      <c r="M1" s="619"/>
      <c r="N1" s="619"/>
      <c r="O1" s="619"/>
      <c r="P1" s="619"/>
      <c r="Q1" s="95"/>
      <c r="R1" s="95"/>
      <c r="S1" s="95"/>
      <c r="T1" s="95"/>
      <c r="U1" s="95"/>
      <c r="V1" s="95"/>
    </row>
    <row r="2" spans="3:16" ht="11.25" customHeight="1">
      <c r="C2" s="618" t="s">
        <v>238</v>
      </c>
      <c r="D2" s="618"/>
      <c r="E2" s="618"/>
      <c r="F2" s="618"/>
      <c r="G2" s="618"/>
      <c r="H2" s="618"/>
      <c r="I2" s="618"/>
      <c r="J2" s="618"/>
      <c r="K2" s="618"/>
      <c r="L2" s="618"/>
      <c r="M2" s="618"/>
      <c r="N2" s="618"/>
      <c r="O2" s="618"/>
      <c r="P2" s="618"/>
    </row>
    <row r="3" spans="3:16" ht="11.25" customHeight="1">
      <c r="C3" s="620" t="s">
        <v>278</v>
      </c>
      <c r="D3" s="620"/>
      <c r="E3" s="620"/>
      <c r="F3" s="620"/>
      <c r="G3" s="620"/>
      <c r="H3" s="620"/>
      <c r="I3" s="620"/>
      <c r="J3" s="620"/>
      <c r="K3" s="620"/>
      <c r="L3" s="620"/>
      <c r="M3" s="620"/>
      <c r="N3" s="620"/>
      <c r="O3" s="620"/>
      <c r="P3" s="620"/>
    </row>
    <row r="4" spans="3:16" ht="11.25" customHeight="1">
      <c r="C4" s="620" t="s">
        <v>170</v>
      </c>
      <c r="D4" s="620"/>
      <c r="E4" s="620"/>
      <c r="F4" s="620"/>
      <c r="G4" s="620"/>
      <c r="H4" s="620"/>
      <c r="I4" s="620"/>
      <c r="J4" s="620"/>
      <c r="K4" s="620"/>
      <c r="L4" s="620"/>
      <c r="M4" s="620"/>
      <c r="N4" s="620"/>
      <c r="O4" s="620"/>
      <c r="P4" s="620"/>
    </row>
    <row r="5" spans="5:15" ht="7.5" customHeight="1">
      <c r="E5"/>
      <c r="F5"/>
      <c r="G5"/>
      <c r="H5"/>
      <c r="I5"/>
      <c r="J5" s="179"/>
      <c r="L5" s="179"/>
      <c r="M5" s="44"/>
      <c r="N5" s="129"/>
      <c r="O5" s="179"/>
    </row>
    <row r="6" spans="3:15" ht="12.75" customHeight="1">
      <c r="C6" s="539"/>
      <c r="E6" s="612"/>
      <c r="F6" s="612"/>
      <c r="G6" s="612"/>
      <c r="I6" s="2" t="s">
        <v>166</v>
      </c>
      <c r="K6" s="612"/>
      <c r="L6" s="605"/>
      <c r="M6" s="605"/>
      <c r="O6" s="2" t="s">
        <v>166</v>
      </c>
    </row>
    <row r="7" spans="4:15" ht="12.75" customHeight="1">
      <c r="D7" s="612" t="s">
        <v>429</v>
      </c>
      <c r="E7" s="613"/>
      <c r="F7" s="613"/>
      <c r="G7" s="613"/>
      <c r="H7" s="613"/>
      <c r="I7" s="2" t="s">
        <v>431</v>
      </c>
      <c r="J7" s="612" t="s">
        <v>430</v>
      </c>
      <c r="K7" s="613"/>
      <c r="L7" s="613"/>
      <c r="M7" s="613"/>
      <c r="N7" s="613"/>
      <c r="O7" s="2" t="s">
        <v>435</v>
      </c>
    </row>
    <row r="8" spans="5:15" ht="11.25">
      <c r="E8" s="169" t="s">
        <v>358</v>
      </c>
      <c r="G8" s="169" t="s">
        <v>280</v>
      </c>
      <c r="I8" s="62" t="s">
        <v>2</v>
      </c>
      <c r="K8" s="169" t="s">
        <v>358</v>
      </c>
      <c r="M8" s="169" t="s">
        <v>280</v>
      </c>
      <c r="O8" s="427">
        <v>2005</v>
      </c>
    </row>
    <row r="9" spans="3:15" ht="11.25">
      <c r="C9" s="15"/>
      <c r="D9" s="15"/>
      <c r="E9" s="170"/>
      <c r="F9" s="69"/>
      <c r="G9" s="170"/>
      <c r="J9" s="179"/>
      <c r="K9" s="170"/>
      <c r="L9" s="69"/>
      <c r="M9" s="170"/>
      <c r="N9" s="129"/>
      <c r="O9" s="179"/>
    </row>
    <row r="10" spans="3:15" ht="11.25" customHeight="1">
      <c r="C10" s="1" t="s">
        <v>131</v>
      </c>
      <c r="E10" s="179">
        <f>+'Segment  2006 Qtr'!Q10</f>
        <v>4010</v>
      </c>
      <c r="G10" s="179">
        <f>+'Segment  2006 Qtr'!Q31</f>
        <v>3794</v>
      </c>
      <c r="I10" s="129">
        <f>(+E10-G10)/G10</f>
        <v>0.05693199789140749</v>
      </c>
      <c r="J10" s="179"/>
      <c r="K10" s="179">
        <f>+'Segment  2006 YTD'!Q10</f>
        <v>17401</v>
      </c>
      <c r="L10" s="179"/>
      <c r="M10" s="179">
        <f>+'Segment  2006 YTD'!Q33</f>
        <v>16811</v>
      </c>
      <c r="N10" s="129"/>
      <c r="O10" s="129">
        <f>(+K10-M10)/M10</f>
        <v>0.0350960680506811</v>
      </c>
    </row>
    <row r="11" spans="5:15" ht="4.5" customHeight="1">
      <c r="E11" s="131"/>
      <c r="G11" s="131"/>
      <c r="I11" s="129"/>
      <c r="J11" s="179"/>
      <c r="K11" s="131"/>
      <c r="L11" s="179"/>
      <c r="M11" s="131"/>
      <c r="N11" s="129"/>
      <c r="O11" s="129"/>
    </row>
    <row r="12" spans="3:15" ht="11.25" customHeight="1">
      <c r="C12" s="79" t="s">
        <v>132</v>
      </c>
      <c r="D12" s="79"/>
      <c r="E12" s="179">
        <f>+'Segment  2006 Qtr'!Q11</f>
        <v>2864</v>
      </c>
      <c r="G12" s="179">
        <f>+'Segment  2006 Qtr'!Q32</f>
        <v>2628</v>
      </c>
      <c r="I12" s="129">
        <f>(+E12-G12)/G12</f>
        <v>0.0898021308980213</v>
      </c>
      <c r="J12" s="179"/>
      <c r="K12" s="179">
        <f>+'Segment  2006 YTD'!Q11</f>
        <v>12030</v>
      </c>
      <c r="L12" s="179"/>
      <c r="M12" s="179">
        <f>+'Segment  2006 YTD'!Q34</f>
        <v>11792</v>
      </c>
      <c r="N12" s="129"/>
      <c r="O12" s="129">
        <f>(+K12-M12)/M12</f>
        <v>0.0201831750339213</v>
      </c>
    </row>
    <row r="13" spans="3:15" ht="4.5" customHeight="1">
      <c r="C13" s="79"/>
      <c r="D13" s="79"/>
      <c r="E13" s="131"/>
      <c r="G13" s="131"/>
      <c r="I13" s="129"/>
      <c r="J13" s="179"/>
      <c r="K13" s="131"/>
      <c r="L13" s="179"/>
      <c r="M13" s="131"/>
      <c r="N13" s="129"/>
      <c r="O13" s="129"/>
    </row>
    <row r="14" spans="3:15" ht="11.25" customHeight="1">
      <c r="C14" s="79" t="s">
        <v>133</v>
      </c>
      <c r="D14" s="79"/>
      <c r="E14" s="179">
        <f>+'Segment  2006 Qtr'!Q12</f>
        <v>3026</v>
      </c>
      <c r="G14" s="179">
        <f>+'Segment  2006 Qtr'!Q33</f>
        <v>2859</v>
      </c>
      <c r="I14" s="129">
        <f>(+E14-G14)/G14</f>
        <v>0.0584120321790836</v>
      </c>
      <c r="J14" s="179"/>
      <c r="K14" s="179">
        <f>+'Segment  2006 YTD'!Q12</f>
        <v>11825</v>
      </c>
      <c r="L14" s="179"/>
      <c r="M14" s="179">
        <f>+'Segment  2006 YTD'!Q35</f>
        <v>11748</v>
      </c>
      <c r="N14" s="129"/>
      <c r="O14" s="129">
        <f>(+K14-M14)/M14</f>
        <v>0.006554307116104869</v>
      </c>
    </row>
    <row r="15" spans="3:13" ht="4.5" customHeight="1">
      <c r="C15" s="79"/>
      <c r="D15" s="79"/>
      <c r="E15" s="131"/>
      <c r="G15" s="131"/>
      <c r="J15" s="79"/>
      <c r="K15" s="131"/>
      <c r="M15" s="131"/>
    </row>
    <row r="16" spans="3:15" ht="11.25">
      <c r="C16" s="1" t="s">
        <v>128</v>
      </c>
      <c r="E16" s="179">
        <f>+'Segment  2006 Qtr'!Q19</f>
        <v>428</v>
      </c>
      <c r="G16" s="179">
        <f>+'Segment  2006 Qtr'!Q40</f>
        <v>354</v>
      </c>
      <c r="I16" s="246">
        <f>(+E16-G16)/G16</f>
        <v>0.20903954802259886</v>
      </c>
      <c r="K16" s="179">
        <f>+'Segment  2006 YTD'!Q19</f>
        <v>1601</v>
      </c>
      <c r="M16" s="179">
        <f>+'Segment  2006 YTD'!Q42</f>
        <v>1264</v>
      </c>
      <c r="O16" s="129">
        <f>(+K16-M16)/M16</f>
        <v>0.2666139240506329</v>
      </c>
    </row>
    <row r="17" spans="3:13" ht="4.5" customHeight="1">
      <c r="C17" s="15"/>
      <c r="D17" s="15"/>
      <c r="E17" s="22"/>
      <c r="G17" s="22"/>
      <c r="J17" s="15"/>
      <c r="K17" s="22"/>
      <c r="M17" s="22"/>
    </row>
    <row r="18" spans="3:15" ht="11.25">
      <c r="C18" s="1" t="s">
        <v>273</v>
      </c>
      <c r="E18" s="257">
        <f>+'Segment  2006 Qtr'!Q24</f>
        <v>665</v>
      </c>
      <c r="G18" s="257">
        <f>+'Segment  2006 Qtr'!Q45</f>
        <v>236</v>
      </c>
      <c r="I18" s="129">
        <f>(+E18-G18)/G18</f>
        <v>1.8177966101694916</v>
      </c>
      <c r="K18" s="179">
        <f>+'Segment  2006 YTD'!Q25</f>
        <v>2305</v>
      </c>
      <c r="M18" s="131">
        <f>+'Segment  2006 YTD'!Q47</f>
        <v>1028</v>
      </c>
      <c r="O18" s="129">
        <f>(+K18-M18)/M18</f>
        <v>1.2422178988326849</v>
      </c>
    </row>
    <row r="19" spans="5:13" ht="4.5" customHeight="1">
      <c r="E19" s="131"/>
      <c r="G19" s="131"/>
      <c r="K19" s="131"/>
      <c r="M19" s="131"/>
    </row>
    <row r="20" spans="3:15" ht="13.5" customHeight="1">
      <c r="C20" s="78" t="s">
        <v>371</v>
      </c>
      <c r="D20" s="51"/>
      <c r="E20" s="179">
        <f>+'Segment  2006 Qtr'!Q28</f>
        <v>643</v>
      </c>
      <c r="G20" s="179">
        <f>+'Segment  2006 Qtr'!Q49</f>
        <v>244</v>
      </c>
      <c r="I20" s="129">
        <f>(+E20-G20)/G20</f>
        <v>1.6352459016393444</v>
      </c>
      <c r="J20" s="51"/>
      <c r="K20" s="131">
        <f>+'Segment  2006 YTD'!Q30</f>
        <v>2351</v>
      </c>
      <c r="M20" s="131">
        <f>+'Segment  2006 YTD'!Q51</f>
        <v>955</v>
      </c>
      <c r="O20" s="129">
        <f>(+K20-M20)/M20</f>
        <v>1.4617801047120418</v>
      </c>
    </row>
    <row r="21" spans="5:13" ht="4.5" customHeight="1">
      <c r="E21" s="131"/>
      <c r="G21" s="132"/>
      <c r="K21" s="132"/>
      <c r="M21" s="131"/>
    </row>
    <row r="22" spans="3:15" ht="11.25">
      <c r="C22" s="1" t="s">
        <v>5</v>
      </c>
      <c r="E22" s="257">
        <f>'Comprehensive Income'!H19</f>
        <v>813</v>
      </c>
      <c r="F22" s="44"/>
      <c r="G22" s="132">
        <f>+'Comprehensive Income'!L19</f>
        <v>127</v>
      </c>
      <c r="H22" s="44"/>
      <c r="I22" s="129">
        <f>(+E22-G22)/G22</f>
        <v>5.4015748031496065</v>
      </c>
      <c r="K22" s="132">
        <f>+'Comprehensive Income'!N19</f>
        <v>2689</v>
      </c>
      <c r="L22" s="44"/>
      <c r="M22" s="132">
        <f>+'Comprehensive Income'!P19</f>
        <v>626</v>
      </c>
      <c r="N22" s="44"/>
      <c r="O22" s="129">
        <f>(+K22-M22)/M22</f>
        <v>3.2955271565495208</v>
      </c>
    </row>
    <row r="23" spans="5:15" ht="4.5" customHeight="1">
      <c r="E23" s="132"/>
      <c r="F23" s="44"/>
      <c r="G23" s="132"/>
      <c r="H23" s="44"/>
      <c r="I23" s="44"/>
      <c r="K23" s="132"/>
      <c r="L23" s="44"/>
      <c r="M23" s="132"/>
      <c r="N23" s="44"/>
      <c r="O23" s="44"/>
    </row>
    <row r="24" spans="3:15" ht="11.25">
      <c r="C24" s="1" t="s">
        <v>172</v>
      </c>
      <c r="E24" s="257">
        <v>804</v>
      </c>
      <c r="G24" s="33">
        <v>809</v>
      </c>
      <c r="I24" s="129">
        <f>(+E24-G24)/G24</f>
        <v>-0.006180469715698393</v>
      </c>
      <c r="K24" s="33">
        <f>3301+E24</f>
        <v>4105</v>
      </c>
      <c r="M24" s="33">
        <v>4308</v>
      </c>
      <c r="O24" s="129">
        <f>(+K24-M24)/M24</f>
        <v>-0.04712163416898793</v>
      </c>
    </row>
    <row r="25" spans="5:13" ht="10.5" customHeight="1">
      <c r="E25" s="133"/>
      <c r="G25" s="134"/>
      <c r="K25" s="134"/>
      <c r="M25" s="134"/>
    </row>
    <row r="26" spans="3:13" ht="11.25">
      <c r="C26" s="183" t="s">
        <v>135</v>
      </c>
      <c r="E26" s="133"/>
      <c r="G26" s="134"/>
      <c r="K26" s="133"/>
      <c r="M26" s="134"/>
    </row>
    <row r="27" spans="3:13" ht="11.25" customHeight="1">
      <c r="C27" s="1" t="s">
        <v>130</v>
      </c>
      <c r="E27" s="17">
        <f>+'Consolidated Results'!D40</f>
        <v>0.618</v>
      </c>
      <c r="F27" s="263"/>
      <c r="G27" s="17">
        <f>+'Consolidated Results'!L40</f>
        <v>0.765</v>
      </c>
      <c r="H27" s="44"/>
      <c r="I27" s="44"/>
      <c r="J27" s="44"/>
      <c r="K27" s="17">
        <f>+'Consolidated Results'!N40</f>
        <v>0.612</v>
      </c>
      <c r="L27" s="263"/>
      <c r="M27" s="17">
        <f>+'Consolidated Results'!P40</f>
        <v>0.745</v>
      </c>
    </row>
    <row r="28" spans="3:13" ht="11.25" customHeight="1">
      <c r="C28" s="1" t="s">
        <v>183</v>
      </c>
      <c r="E28" s="18">
        <f>+'Consolidated Results'!D41+'Consolidated Results'!D42</f>
        <v>0.264</v>
      </c>
      <c r="F28" s="263"/>
      <c r="G28" s="18">
        <f>+'Consolidated Results'!L41+'Consolidated Results'!L42</f>
        <v>0.254</v>
      </c>
      <c r="H28" s="44"/>
      <c r="I28" s="44"/>
      <c r="J28" s="44"/>
      <c r="K28" s="18">
        <f>+'Consolidated Results'!N41+'Consolidated Results'!N42</f>
        <v>0.269</v>
      </c>
      <c r="L28" s="263"/>
      <c r="M28" s="18">
        <f>+'Consolidated Results'!P41+'Consolidated Results'!P42</f>
        <v>0.25</v>
      </c>
    </row>
    <row r="29" spans="3:13" ht="11.25" customHeight="1">
      <c r="C29" s="1" t="s">
        <v>59</v>
      </c>
      <c r="E29" s="390">
        <f>SUM(E27:E28)</f>
        <v>0.882</v>
      </c>
      <c r="F29" s="263"/>
      <c r="G29" s="390">
        <f>SUM(G27:G28)</f>
        <v>1.0190000000000001</v>
      </c>
      <c r="H29" s="44"/>
      <c r="I29" s="44"/>
      <c r="J29" s="44"/>
      <c r="K29" s="390">
        <f>SUM(K27:K28)</f>
        <v>0.881</v>
      </c>
      <c r="L29" s="263"/>
      <c r="M29" s="390">
        <f>SUM(M27:M28)</f>
        <v>0.995</v>
      </c>
    </row>
    <row r="30" spans="5:13" ht="8.25" customHeight="1">
      <c r="E30" s="17"/>
      <c r="F30" s="263"/>
      <c r="G30" s="17"/>
      <c r="H30" s="44"/>
      <c r="I30" s="44"/>
      <c r="J30" s="44"/>
      <c r="K30" s="17"/>
      <c r="L30" s="263"/>
      <c r="M30" s="17"/>
    </row>
    <row r="31" spans="3:13" ht="11.25" customHeight="1">
      <c r="C31" s="1" t="s">
        <v>21</v>
      </c>
      <c r="E31" s="391">
        <v>0.19</v>
      </c>
      <c r="F31" s="44"/>
      <c r="G31" s="392">
        <v>0.089</v>
      </c>
      <c r="H31" s="44"/>
      <c r="I31" s="44"/>
      <c r="J31" s="44"/>
      <c r="K31" s="391">
        <v>0.185</v>
      </c>
      <c r="L31" s="44"/>
      <c r="M31" s="392">
        <v>0.089</v>
      </c>
    </row>
    <row r="32" spans="3:13" ht="11.25" customHeight="1">
      <c r="C32" s="80" t="s">
        <v>270</v>
      </c>
      <c r="E32" s="391">
        <v>0.198</v>
      </c>
      <c r="F32" s="44"/>
      <c r="G32" s="391">
        <v>0.092</v>
      </c>
      <c r="H32" s="44"/>
      <c r="I32" s="44"/>
      <c r="J32" s="44"/>
      <c r="K32" s="391">
        <v>0.192</v>
      </c>
      <c r="L32" s="44"/>
      <c r="M32" s="391">
        <v>0.093</v>
      </c>
    </row>
    <row r="33" spans="3:13" ht="6.75" customHeight="1">
      <c r="C33" s="80"/>
      <c r="E33" s="391"/>
      <c r="F33" s="44"/>
      <c r="G33" s="391"/>
      <c r="H33" s="44"/>
      <c r="I33" s="44"/>
      <c r="J33" s="44"/>
      <c r="K33" s="391"/>
      <c r="L33" s="44"/>
      <c r="M33" s="391"/>
    </row>
    <row r="34" spans="3:13" ht="21.75" customHeight="1">
      <c r="C34" s="78" t="s">
        <v>380</v>
      </c>
      <c r="E34" s="473">
        <f>+'Consolidated Results'!D37</f>
        <v>0.16925064599483206</v>
      </c>
      <c r="F34" s="474"/>
      <c r="G34" s="473">
        <f>+'Consolidated Results'!L37</f>
        <v>0.07924528301886792</v>
      </c>
      <c r="H34" s="474"/>
      <c r="I34" s="474"/>
      <c r="J34" s="474"/>
      <c r="K34" s="473">
        <f>+'Consolidated Results'!N37</f>
        <v>0.19513865114686751</v>
      </c>
      <c r="L34" s="474"/>
      <c r="M34" s="473">
        <f>+'Consolidated Results'!P37</f>
        <v>0.22040816326530613</v>
      </c>
    </row>
    <row r="35" spans="5:13" ht="7.5" customHeight="1">
      <c r="E35" s="129"/>
      <c r="F35" s="44"/>
      <c r="G35" s="129"/>
      <c r="H35" s="44"/>
      <c r="I35" s="44"/>
      <c r="J35" s="44"/>
      <c r="K35" s="129"/>
      <c r="L35" s="44"/>
      <c r="M35" s="129"/>
    </row>
    <row r="36" spans="3:13" ht="11.25">
      <c r="C36" s="183" t="s">
        <v>331</v>
      </c>
      <c r="E36" s="44"/>
      <c r="F36" s="44"/>
      <c r="G36" s="44"/>
      <c r="H36" s="44"/>
      <c r="I36" s="44"/>
      <c r="J36" s="44"/>
      <c r="K36" s="44"/>
      <c r="L36" s="44"/>
      <c r="M36" s="44"/>
    </row>
    <row r="37" spans="3:15" ht="17.25" customHeight="1">
      <c r="C37" s="78" t="s">
        <v>381</v>
      </c>
      <c r="D37" s="118"/>
      <c r="E37" s="135">
        <f>+'Earnings per share '!D37</f>
        <v>1.92</v>
      </c>
      <c r="F37" s="44"/>
      <c r="G37" s="135">
        <f>+'Earnings per share '!F37</f>
        <v>0.72</v>
      </c>
      <c r="H37" s="44"/>
      <c r="I37" s="129">
        <f>(+E37-G37)/G37</f>
        <v>1.6666666666666667</v>
      </c>
      <c r="J37" s="120"/>
      <c r="K37" s="135">
        <f>+'Earnings per share '!H37</f>
        <v>7.05</v>
      </c>
      <c r="L37" s="44"/>
      <c r="M37" s="135">
        <f>+'Earnings per share '!J37</f>
        <v>3.06</v>
      </c>
      <c r="O37" s="129">
        <f>(+K37-M37)/M37</f>
        <v>1.3039215686274508</v>
      </c>
    </row>
    <row r="38" spans="3:15" ht="11.25" customHeight="1">
      <c r="C38" s="118" t="s">
        <v>273</v>
      </c>
      <c r="D38" s="118"/>
      <c r="E38" s="135">
        <f>+'Earnings per share '!D40</f>
        <v>1.99</v>
      </c>
      <c r="F38" s="44"/>
      <c r="G38" s="135">
        <f>+'Earnings per share '!F40</f>
        <v>0.69</v>
      </c>
      <c r="H38" s="44"/>
      <c r="I38" s="129">
        <f>(+E38-G38)/G38</f>
        <v>1.884057971014493</v>
      </c>
      <c r="J38" s="120"/>
      <c r="K38" s="135">
        <f>+'Earnings per share '!H40</f>
        <v>6.909999999999999</v>
      </c>
      <c r="L38" s="44"/>
      <c r="M38" s="135">
        <f>+'Earnings per share '!J40</f>
        <v>3.31</v>
      </c>
      <c r="O38" s="129">
        <f>(+K38-M38)/M38</f>
        <v>1.0876132930513593</v>
      </c>
    </row>
    <row r="39" spans="5:13" ht="7.5" customHeight="1">
      <c r="E39" s="44"/>
      <c r="F39" s="44"/>
      <c r="G39" s="44"/>
      <c r="H39" s="44"/>
      <c r="I39" s="44"/>
      <c r="J39" s="44"/>
      <c r="K39" s="44"/>
      <c r="L39" s="44"/>
      <c r="M39" s="44"/>
    </row>
    <row r="40" spans="3:15" ht="11.25" customHeight="1">
      <c r="C40" s="1" t="s">
        <v>237</v>
      </c>
      <c r="E40" s="135">
        <f>+'Consol Bal Sheet'!E49</f>
        <v>42.03023488643174</v>
      </c>
      <c r="F40" s="44"/>
      <c r="G40" s="110">
        <v>34.81</v>
      </c>
      <c r="H40" s="44"/>
      <c r="I40" s="246">
        <f>(+E40-G40)/G40</f>
        <v>0.20741841098626082</v>
      </c>
      <c r="J40" s="44"/>
      <c r="K40" s="135">
        <f>+E40</f>
        <v>42.03023488643174</v>
      </c>
      <c r="L40" s="44"/>
      <c r="M40" s="135">
        <f>+G40</f>
        <v>34.81</v>
      </c>
      <c r="O40" s="129">
        <f>(+K40-M40)/M40</f>
        <v>0.20741841098626082</v>
      </c>
    </row>
    <row r="41" spans="3:15" ht="11.25" customHeight="1">
      <c r="C41" s="1" t="s">
        <v>335</v>
      </c>
      <c r="E41" s="135">
        <f>+'Consol Bal Sheet'!E50</f>
        <v>33.664622214261705</v>
      </c>
      <c r="F41" s="44"/>
      <c r="G41" s="110">
        <v>26.45</v>
      </c>
      <c r="H41" s="44"/>
      <c r="I41" s="246">
        <f>(+E41-G41)/G41</f>
        <v>0.27276454496263536</v>
      </c>
      <c r="J41" s="44"/>
      <c r="K41" s="135">
        <f>+E41</f>
        <v>33.664622214261705</v>
      </c>
      <c r="L41" s="44"/>
      <c r="M41" s="135">
        <f>+G41</f>
        <v>26.45</v>
      </c>
      <c r="N41" s="44"/>
      <c r="O41" s="129">
        <f>(+K41-M41)/M41</f>
        <v>0.27276454496263536</v>
      </c>
    </row>
    <row r="42" spans="5:13" ht="4.5" customHeight="1">
      <c r="E42" s="135"/>
      <c r="F42" s="44"/>
      <c r="G42" s="135"/>
      <c r="H42" s="44"/>
      <c r="I42" s="44"/>
      <c r="J42" s="44"/>
      <c r="K42" s="135"/>
      <c r="L42" s="44"/>
      <c r="M42" s="135"/>
    </row>
    <row r="43" spans="3:13" ht="11.25" customHeight="1">
      <c r="C43" s="118" t="s">
        <v>325</v>
      </c>
      <c r="E43" s="31">
        <f>'Earnings per share '!D26/1000000</f>
        <v>322.461336</v>
      </c>
      <c r="F43" s="44"/>
      <c r="G43" s="31">
        <f>'Earnings per share '!F26/1000000</f>
        <v>317.06121504301075</v>
      </c>
      <c r="H43" s="44"/>
      <c r="I43" s="44"/>
      <c r="J43" s="44"/>
      <c r="K43" s="31">
        <f>'Earnings per share '!H26/1000000</f>
        <v>321.768672</v>
      </c>
      <c r="L43" s="44"/>
      <c r="M43" s="31">
        <f>'Earnings per share '!J26/1000000</f>
        <v>292.4013426284153</v>
      </c>
    </row>
    <row r="44" spans="3:15" ht="11.25" customHeight="1">
      <c r="C44" s="118" t="s">
        <v>87</v>
      </c>
      <c r="D44" s="118"/>
      <c r="E44" s="31">
        <f>'Earnings per share '!D28/1000000</f>
        <v>328.366703</v>
      </c>
      <c r="F44" s="44"/>
      <c r="G44" s="31">
        <v>323.4</v>
      </c>
      <c r="H44" s="44"/>
      <c r="I44" s="129"/>
      <c r="J44" s="120"/>
      <c r="K44" s="31">
        <f>'Earnings per share '!H28/1000000</f>
        <v>327.232022</v>
      </c>
      <c r="L44" s="44"/>
      <c r="M44" s="31">
        <f>'Earnings per share '!J28/1000000</f>
        <v>297.2998826284153</v>
      </c>
      <c r="O44" s="129"/>
    </row>
    <row r="45" spans="5:13" ht="8.25" customHeight="1">
      <c r="E45" s="44"/>
      <c r="F45" s="44"/>
      <c r="G45" s="44"/>
      <c r="H45" s="44"/>
      <c r="I45" s="44"/>
      <c r="J45" s="44"/>
      <c r="K45" s="44"/>
      <c r="L45" s="44"/>
      <c r="M45" s="44"/>
    </row>
    <row r="46" spans="3:13" ht="11.25">
      <c r="C46" s="63" t="s">
        <v>208</v>
      </c>
      <c r="E46" s="392">
        <f>'Capital Structure'!D24</f>
        <v>0.12783258594917787</v>
      </c>
      <c r="F46" s="44"/>
      <c r="G46" s="392">
        <v>0.148</v>
      </c>
      <c r="H46" s="44"/>
      <c r="I46" s="44"/>
      <c r="J46" s="44"/>
      <c r="K46" s="392">
        <f>+E46</f>
        <v>0.12783258594917787</v>
      </c>
      <c r="L46" s="44"/>
      <c r="M46" s="392">
        <f>+G46</f>
        <v>0.148</v>
      </c>
    </row>
    <row r="47" spans="5:15" ht="8.25" customHeight="1">
      <c r="E47" s="44"/>
      <c r="F47" s="44"/>
      <c r="G47" s="44"/>
      <c r="H47" s="44"/>
      <c r="I47" s="44"/>
      <c r="J47" s="423"/>
      <c r="K47" s="423"/>
      <c r="L47" s="423"/>
      <c r="M47" s="423"/>
      <c r="N47" s="423"/>
      <c r="O47" s="423"/>
    </row>
    <row r="48" spans="3:15" ht="12" customHeight="1">
      <c r="C48" s="571" t="s">
        <v>542</v>
      </c>
      <c r="D48" s="266"/>
      <c r="E48" s="266"/>
      <c r="F48" s="266"/>
      <c r="G48" s="266"/>
      <c r="H48" s="266"/>
      <c r="I48" s="266"/>
      <c r="J48"/>
      <c r="K48"/>
      <c r="L48"/>
      <c r="M48"/>
      <c r="N48"/>
      <c r="O48"/>
    </row>
    <row r="49" spans="3:15" ht="13.5" customHeight="1">
      <c r="C49" s="614" t="s">
        <v>396</v>
      </c>
      <c r="D49" s="614"/>
      <c r="E49" s="614"/>
      <c r="F49" s="614"/>
      <c r="G49" s="614"/>
      <c r="H49" s="614"/>
      <c r="I49" s="614"/>
      <c r="J49" s="614"/>
      <c r="K49" s="614"/>
      <c r="L49" s="614"/>
      <c r="M49" s="614"/>
      <c r="N49"/>
      <c r="O49"/>
    </row>
    <row r="69" spans="3:15" ht="12.75">
      <c r="C69" s="619" t="s">
        <v>96</v>
      </c>
      <c r="D69" s="619"/>
      <c r="E69" s="619"/>
      <c r="F69" s="619"/>
      <c r="G69" s="619"/>
      <c r="H69" s="619"/>
      <c r="I69" s="619"/>
      <c r="J69" s="619"/>
      <c r="K69" s="619"/>
      <c r="L69" s="619"/>
      <c r="M69" s="619"/>
      <c r="N69" s="619"/>
      <c r="O69" s="619"/>
    </row>
    <row r="70" spans="3:15" ht="11.25">
      <c r="C70" s="618" t="s">
        <v>157</v>
      </c>
      <c r="D70" s="618"/>
      <c r="E70" s="618"/>
      <c r="F70" s="618"/>
      <c r="G70" s="618"/>
      <c r="H70" s="618"/>
      <c r="I70" s="618"/>
      <c r="J70" s="618"/>
      <c r="K70" s="618"/>
      <c r="L70" s="618"/>
      <c r="M70" s="618"/>
      <c r="N70" s="618"/>
      <c r="O70" s="618"/>
    </row>
    <row r="71" spans="3:15" ht="11.25">
      <c r="C71" s="617" t="s">
        <v>154</v>
      </c>
      <c r="D71" s="617"/>
      <c r="E71" s="617"/>
      <c r="F71" s="617"/>
      <c r="G71" s="617"/>
      <c r="H71" s="617"/>
      <c r="I71" s="617"/>
      <c r="J71" s="617"/>
      <c r="K71" s="617"/>
      <c r="L71" s="617"/>
      <c r="M71" s="617"/>
      <c r="N71" s="617"/>
      <c r="O71" s="617"/>
    </row>
    <row r="72" spans="3:17" ht="12.75">
      <c r="C72" s="617" t="s">
        <v>170</v>
      </c>
      <c r="D72" s="617"/>
      <c r="E72" s="617"/>
      <c r="F72" s="617"/>
      <c r="G72" s="617"/>
      <c r="H72" s="617"/>
      <c r="I72" s="617"/>
      <c r="J72" s="617"/>
      <c r="K72" s="617"/>
      <c r="L72" s="617"/>
      <c r="M72" s="617"/>
      <c r="N72" s="617"/>
      <c r="O72" s="617"/>
      <c r="P72"/>
      <c r="Q72"/>
    </row>
    <row r="73" spans="3:17" ht="12.75">
      <c r="C73" s="16"/>
      <c r="D73" s="16"/>
      <c r="E73" s="124"/>
      <c r="F73" s="124"/>
      <c r="G73" s="124"/>
      <c r="H73" s="124"/>
      <c r="I73" s="124" t="s">
        <v>166</v>
      </c>
      <c r="J73" s="16"/>
      <c r="K73" s="124"/>
      <c r="L73" s="124"/>
      <c r="M73" s="124"/>
      <c r="N73" s="124"/>
      <c r="O73" s="124" t="s">
        <v>166</v>
      </c>
      <c r="P73" s="161"/>
      <c r="Q73"/>
    </row>
    <row r="74" spans="3:17" ht="12.75" customHeight="1">
      <c r="C74" s="128"/>
      <c r="D74" s="615" t="str">
        <f>+D7</f>
        <v>Three months ended December 31</v>
      </c>
      <c r="E74" s="616"/>
      <c r="F74" s="616"/>
      <c r="G74" s="616"/>
      <c r="H74" s="616"/>
      <c r="I74" s="2" t="str">
        <f>+I7</f>
        <v>4Q-06 vs.</v>
      </c>
      <c r="J74" s="615" t="str">
        <f>+J7</f>
        <v>Year ended December 31</v>
      </c>
      <c r="K74" s="616"/>
      <c r="L74" s="616"/>
      <c r="M74" s="616"/>
      <c r="N74" s="616"/>
      <c r="O74" s="2" t="str">
        <f>+O7</f>
        <v>2006 vs.</v>
      </c>
      <c r="P74" s="161"/>
      <c r="Q74"/>
    </row>
    <row r="75" spans="3:17" ht="12.75">
      <c r="C75" s="16"/>
      <c r="D75" s="16"/>
      <c r="E75" s="526" t="s">
        <v>358</v>
      </c>
      <c r="F75" s="125"/>
      <c r="G75" s="527" t="s">
        <v>280</v>
      </c>
      <c r="H75" s="126"/>
      <c r="I75" s="62" t="str">
        <f>+I8</f>
        <v>4Q-05</v>
      </c>
      <c r="J75" s="16"/>
      <c r="K75" s="526" t="s">
        <v>358</v>
      </c>
      <c r="L75" s="125"/>
      <c r="M75" s="527" t="s">
        <v>280</v>
      </c>
      <c r="N75" s="126"/>
      <c r="O75" s="62">
        <f>+O8</f>
        <v>2005</v>
      </c>
      <c r="P75" s="161"/>
      <c r="Q75"/>
    </row>
    <row r="76" spans="3:17" ht="12.75">
      <c r="C76" s="127"/>
      <c r="D76" s="127"/>
      <c r="E76" s="128"/>
      <c r="F76" s="128"/>
      <c r="G76" s="16"/>
      <c r="H76" s="16"/>
      <c r="J76" s="127"/>
      <c r="K76" s="128"/>
      <c r="L76" s="128"/>
      <c r="M76" s="16"/>
      <c r="N76" s="16"/>
      <c r="P76" s="161"/>
      <c r="Q76"/>
    </row>
    <row r="77" spans="2:17" ht="12.75">
      <c r="B77" s="16"/>
      <c r="C77" s="177" t="s">
        <v>131</v>
      </c>
      <c r="D77" s="178"/>
      <c r="E77" s="179">
        <f>+'Segment  2006 Qtr'!Q10</f>
        <v>4010</v>
      </c>
      <c r="F77" s="179"/>
      <c r="G77" s="353">
        <f>+'Segment  2006 Qtr'!Q31</f>
        <v>3794</v>
      </c>
      <c r="H77" s="179"/>
      <c r="I77" s="180">
        <f>(+E77-G77)/G77</f>
        <v>0.05693199789140749</v>
      </c>
      <c r="J77" s="178"/>
      <c r="K77" s="131">
        <f>+'Segment  2006 YTD'!Q10</f>
        <v>17401</v>
      </c>
      <c r="L77" s="179"/>
      <c r="M77" s="131">
        <f>+'Segment  2006 YTD'!Q33</f>
        <v>16811</v>
      </c>
      <c r="N77" s="179"/>
      <c r="O77" s="180">
        <f>(+K77-M77)/M77</f>
        <v>0.0350960680506811</v>
      </c>
      <c r="P77" s="161"/>
      <c r="Q77"/>
    </row>
    <row r="78" spans="2:17" ht="12.75">
      <c r="B78" s="16"/>
      <c r="C78" s="177"/>
      <c r="D78" s="178"/>
      <c r="E78" s="181"/>
      <c r="F78" s="181"/>
      <c r="G78" s="131"/>
      <c r="H78" s="181"/>
      <c r="I78" s="176"/>
      <c r="J78" s="178"/>
      <c r="K78" s="181"/>
      <c r="L78" s="181"/>
      <c r="M78" s="131"/>
      <c r="N78" s="181"/>
      <c r="O78" s="176"/>
      <c r="P78" s="161"/>
      <c r="Q78"/>
    </row>
    <row r="79" spans="2:17" ht="12.75">
      <c r="B79" s="16"/>
      <c r="C79" s="177" t="s">
        <v>132</v>
      </c>
      <c r="D79" s="178"/>
      <c r="E79" s="179">
        <f>+'Segment  2006 Qtr'!Q11</f>
        <v>2864</v>
      </c>
      <c r="F79" s="179"/>
      <c r="G79" s="353">
        <f>+'Segment  2006 Qtr'!Q32</f>
        <v>2628</v>
      </c>
      <c r="H79" s="182"/>
      <c r="I79" s="180">
        <f>(+E79-G79)/G79</f>
        <v>0.0898021308980213</v>
      </c>
      <c r="J79" s="178"/>
      <c r="K79" s="131">
        <f>+'Segment  2006 YTD'!Q11</f>
        <v>12030</v>
      </c>
      <c r="L79" s="182"/>
      <c r="M79" s="131">
        <f>+'Segment  2006 YTD'!Q34</f>
        <v>11792</v>
      </c>
      <c r="N79" s="182"/>
      <c r="O79" s="180">
        <f>(+K79-M79)/M79</f>
        <v>0.0201831750339213</v>
      </c>
      <c r="P79" s="161"/>
      <c r="Q79"/>
    </row>
    <row r="80" spans="2:17" ht="12.75">
      <c r="B80" s="16"/>
      <c r="C80" s="177"/>
      <c r="D80" s="178"/>
      <c r="E80" s="182"/>
      <c r="F80" s="182"/>
      <c r="G80" s="131"/>
      <c r="H80" s="182"/>
      <c r="I80" s="176"/>
      <c r="J80" s="178"/>
      <c r="K80" s="182"/>
      <c r="L80" s="182"/>
      <c r="M80" s="131"/>
      <c r="N80" s="182"/>
      <c r="O80" s="176"/>
      <c r="P80" s="161"/>
      <c r="Q80"/>
    </row>
    <row r="81" spans="2:17" ht="12.75">
      <c r="B81" s="16"/>
      <c r="C81" s="177" t="s">
        <v>133</v>
      </c>
      <c r="D81" s="178"/>
      <c r="E81" s="179">
        <f>+'Segment  2006 Qtr'!Q12</f>
        <v>3026</v>
      </c>
      <c r="F81" s="179"/>
      <c r="G81" s="353">
        <f>+'Segment  2006 Qtr'!Q33</f>
        <v>2859</v>
      </c>
      <c r="H81" s="182"/>
      <c r="I81" s="180">
        <f>(+E81-G81)/G81</f>
        <v>0.0584120321790836</v>
      </c>
      <c r="J81" s="178"/>
      <c r="K81" s="131">
        <f>+'Segment  2006 YTD'!Q12</f>
        <v>11825</v>
      </c>
      <c r="L81" s="182"/>
      <c r="M81" s="131">
        <f>+'Segment  2006 YTD'!Q35</f>
        <v>11748</v>
      </c>
      <c r="N81" s="182"/>
      <c r="O81" s="180">
        <f>(+K81-M81)/M81</f>
        <v>0.006554307116104869</v>
      </c>
      <c r="P81" s="161"/>
      <c r="Q81"/>
    </row>
    <row r="82" spans="2:17" ht="12.75">
      <c r="B82" s="16"/>
      <c r="C82" s="177"/>
      <c r="D82" s="177"/>
      <c r="E82" s="177"/>
      <c r="F82" s="177"/>
      <c r="G82" s="177"/>
      <c r="H82" s="177"/>
      <c r="I82" s="176"/>
      <c r="J82" s="177"/>
      <c r="K82" s="177"/>
      <c r="L82" s="177"/>
      <c r="M82" s="177"/>
      <c r="N82" s="177"/>
      <c r="O82" s="176"/>
      <c r="P82" s="161"/>
      <c r="Q82"/>
    </row>
    <row r="83" spans="2:17" ht="12.75">
      <c r="B83" s="16"/>
      <c r="C83" s="16" t="s">
        <v>126</v>
      </c>
      <c r="D83" s="16"/>
      <c r="E83" s="10">
        <f>+'Segment  2006 Qtr'!M13</f>
        <v>1824</v>
      </c>
      <c r="F83" s="10"/>
      <c r="G83" s="55">
        <f>+'Segment  2006 Qtr'!M34</f>
        <v>2135</v>
      </c>
      <c r="H83" s="10"/>
      <c r="I83" s="129">
        <f>(+E83-G83)/G83</f>
        <v>-0.14566744730679157</v>
      </c>
      <c r="J83" s="16"/>
      <c r="K83" s="10">
        <f>+'Segment  2006 YTD'!Q13</f>
        <v>7070</v>
      </c>
      <c r="L83" s="10"/>
      <c r="M83" s="10">
        <f>+'Segment  2006 YTD'!Q36</f>
        <v>8571</v>
      </c>
      <c r="N83" s="10"/>
      <c r="O83" s="129">
        <f>(+K83-M83)/M83</f>
        <v>-0.17512542293781355</v>
      </c>
      <c r="P83" s="161"/>
      <c r="Q83"/>
    </row>
    <row r="84" spans="2:17" ht="12.75">
      <c r="B84" s="16"/>
      <c r="C84" s="16" t="s">
        <v>125</v>
      </c>
      <c r="D84" s="16"/>
      <c r="E84" s="10">
        <f>+'Segment  2006 Qtr'!Q14</f>
        <v>32</v>
      </c>
      <c r="F84" s="10"/>
      <c r="G84" s="55">
        <f>+'Segment  2006 Qtr'!Q35</f>
        <v>35</v>
      </c>
      <c r="H84" s="10"/>
      <c r="I84" s="129">
        <f>(+E84-G84)/G84</f>
        <v>-0.08571428571428572</v>
      </c>
      <c r="J84" s="16"/>
      <c r="K84" s="10">
        <f>+'Segment  2006 YTD'!Q14</f>
        <v>123</v>
      </c>
      <c r="L84" s="10"/>
      <c r="M84" s="10">
        <f>+'Segment  2006 YTD'!Q37</f>
        <v>143</v>
      </c>
      <c r="N84" s="10"/>
      <c r="O84" s="129">
        <f>(+K84-M84)/M84</f>
        <v>-0.13986013986013987</v>
      </c>
      <c r="P84" s="161"/>
      <c r="Q84"/>
    </row>
    <row r="85" spans="2:18" ht="12.75">
      <c r="B85" s="16"/>
      <c r="C85" s="16" t="s">
        <v>136</v>
      </c>
      <c r="D85" s="16"/>
      <c r="E85" s="10">
        <f>+'Segment  2006 Qtr'!Q15</f>
        <v>433</v>
      </c>
      <c r="F85" s="10"/>
      <c r="G85" s="55">
        <f>+'Segment  2006 Qtr'!Q36</f>
        <v>425</v>
      </c>
      <c r="H85" s="10"/>
      <c r="I85" s="129">
        <f>(+E85-G85)/G85</f>
        <v>0.018823529411764704</v>
      </c>
      <c r="J85" s="16"/>
      <c r="K85" s="10">
        <f>+'Segment  2006 YTD'!Q15</f>
        <v>1715</v>
      </c>
      <c r="L85" s="10"/>
      <c r="M85" s="10">
        <f>+'Segment  2006 YTD'!Q38</f>
        <v>1663</v>
      </c>
      <c r="N85" s="10"/>
      <c r="O85" s="129">
        <f>(+K85-M85)/M85</f>
        <v>0.03126879134095009</v>
      </c>
      <c r="P85" s="161"/>
      <c r="Q85"/>
      <c r="R85" s="351"/>
    </row>
    <row r="86" spans="2:18" ht="12.75">
      <c r="B86" s="16"/>
      <c r="C86" s="16" t="s">
        <v>134</v>
      </c>
      <c r="D86" s="16"/>
      <c r="E86" s="14">
        <f>+'Segment  2006 Qtr'!Q16</f>
        <v>365</v>
      </c>
      <c r="F86" s="14"/>
      <c r="G86" s="256">
        <f>+'Segment  2006 Qtr'!Q37</f>
        <v>301</v>
      </c>
      <c r="H86" s="10"/>
      <c r="I86" s="130">
        <f>(+E86-G86)/G86</f>
        <v>0.21262458471760798</v>
      </c>
      <c r="J86" s="16"/>
      <c r="K86" s="14">
        <f>+'Segment  2006 YTD'!Q16</f>
        <v>1456</v>
      </c>
      <c r="L86" s="14"/>
      <c r="M86" s="14">
        <f>+'Segment  2006 YTD'!Q39</f>
        <v>1261</v>
      </c>
      <c r="N86" s="10"/>
      <c r="O86" s="130">
        <f>(+K86-M86)/M86</f>
        <v>0.15463917525773196</v>
      </c>
      <c r="P86" s="161"/>
      <c r="Q86"/>
      <c r="R86" s="351"/>
    </row>
    <row r="87" spans="2:19" ht="12.75">
      <c r="B87" s="16"/>
      <c r="C87" s="177" t="s">
        <v>60</v>
      </c>
      <c r="D87" s="177"/>
      <c r="E87" s="179">
        <f>+E81-E83-E84-E85-E86</f>
        <v>372</v>
      </c>
      <c r="F87" s="181"/>
      <c r="G87" s="179">
        <f>+G81-G83-G84-G85-G86</f>
        <v>-37</v>
      </c>
      <c r="H87" s="181"/>
      <c r="I87" s="180">
        <f>(+E87-G87)/G87</f>
        <v>-11.054054054054054</v>
      </c>
      <c r="J87" s="177"/>
      <c r="K87" s="179">
        <f>+K81-K83-K84-K85-K86</f>
        <v>1461</v>
      </c>
      <c r="L87" s="181"/>
      <c r="M87" s="179">
        <f>+M81-M83-M84-M85-M86</f>
        <v>110</v>
      </c>
      <c r="N87" s="181"/>
      <c r="O87" s="180">
        <f>(+K87-M87)/M87</f>
        <v>12.281818181818181</v>
      </c>
      <c r="P87" s="161"/>
      <c r="Q87"/>
      <c r="R87" s="351"/>
      <c r="S87" s="351"/>
    </row>
    <row r="88" spans="2:17" ht="12.75">
      <c r="B88" s="16"/>
      <c r="C88" s="177"/>
      <c r="D88" s="177"/>
      <c r="E88" s="203"/>
      <c r="F88" s="203"/>
      <c r="G88" s="258"/>
      <c r="H88" s="203"/>
      <c r="I88" s="176"/>
      <c r="J88" s="177"/>
      <c r="K88" s="203"/>
      <c r="L88" s="203"/>
      <c r="M88" s="258"/>
      <c r="N88" s="203"/>
      <c r="O88" s="176"/>
      <c r="P88" s="161"/>
      <c r="Q88"/>
    </row>
    <row r="89" spans="2:17" ht="12.75">
      <c r="B89" s="16"/>
      <c r="C89" s="177" t="s">
        <v>128</v>
      </c>
      <c r="D89" s="177"/>
      <c r="E89" s="181">
        <f>+'Segment  2006 Qtr'!Q19</f>
        <v>428</v>
      </c>
      <c r="F89" s="181"/>
      <c r="G89" s="206">
        <f>+'Segment  2006 Qtr'!Q40</f>
        <v>354</v>
      </c>
      <c r="H89" s="181"/>
      <c r="I89" s="180">
        <f>(+E89-G89)/G89</f>
        <v>0.20903954802259886</v>
      </c>
      <c r="J89" s="177"/>
      <c r="K89" s="181">
        <f>+'Segment  2006 YTD'!Q19</f>
        <v>1601</v>
      </c>
      <c r="L89" s="181"/>
      <c r="M89" s="206">
        <f>+'Segment  2006 YTD'!Q42</f>
        <v>1264</v>
      </c>
      <c r="N89" s="181"/>
      <c r="O89" s="180">
        <f>(+K89-M89)/M89</f>
        <v>0.2666139240506329</v>
      </c>
      <c r="P89" s="161"/>
      <c r="Q89"/>
    </row>
    <row r="90" spans="2:17" ht="12.75">
      <c r="B90" s="16"/>
      <c r="C90" s="177" t="s">
        <v>209</v>
      </c>
      <c r="D90" s="177"/>
      <c r="E90" s="206">
        <f>+'Segment  2006 Qtr'!Q20</f>
        <v>15</v>
      </c>
      <c r="F90" s="206"/>
      <c r="G90" s="206">
        <f>+'Segment  2006 Qtr'!Q41</f>
        <v>-25</v>
      </c>
      <c r="H90" s="181"/>
      <c r="I90" s="180">
        <f>(+E90-G90)/G90</f>
        <v>-1.6</v>
      </c>
      <c r="J90" s="177"/>
      <c r="K90" s="181">
        <f>+'Segment  2006 YTD'!Q20</f>
        <v>-98</v>
      </c>
      <c r="L90" s="206"/>
      <c r="M90" s="206">
        <f>+'Segment  2006 YTD'!Q43</f>
        <v>76</v>
      </c>
      <c r="N90" s="181"/>
      <c r="O90" s="180">
        <f>(+K90-M90)/M90</f>
        <v>-2.289473684210526</v>
      </c>
      <c r="P90" s="161"/>
      <c r="Q90"/>
    </row>
    <row r="91" spans="2:17" ht="12.75">
      <c r="B91" s="16"/>
      <c r="C91" s="177" t="s">
        <v>146</v>
      </c>
      <c r="D91" s="177"/>
      <c r="E91" s="181">
        <f>+'Segment  2006 Qtr'!Q21</f>
        <v>42</v>
      </c>
      <c r="F91" s="181"/>
      <c r="G91" s="206">
        <f>+'Segment  2006 Qtr'!Q42</f>
        <v>46</v>
      </c>
      <c r="H91" s="181"/>
      <c r="I91" s="180">
        <f>(+E91-G91)/G91</f>
        <v>-0.08695652173913043</v>
      </c>
      <c r="J91" s="177"/>
      <c r="K91" s="181">
        <f>+'Segment  2006 YTD'!Q21</f>
        <v>176</v>
      </c>
      <c r="L91" s="181"/>
      <c r="M91" s="206">
        <f>+'Segment  2006 YTD'!Q44</f>
        <v>174</v>
      </c>
      <c r="N91" s="181"/>
      <c r="O91" s="180">
        <f>(+K91-M91)/M91</f>
        <v>0.011494252873563218</v>
      </c>
      <c r="P91" s="161"/>
      <c r="Q91"/>
    </row>
    <row r="92" spans="2:17" ht="12.75">
      <c r="B92" s="16"/>
      <c r="C92" s="1" t="s">
        <v>265</v>
      </c>
      <c r="D92" s="177"/>
      <c r="E92" s="181">
        <f>+'Segment  2006 Qtr'!Q22</f>
        <v>-16</v>
      </c>
      <c r="F92" s="181"/>
      <c r="G92" s="206">
        <f>+'Segment  2006 Qtr'!Q43</f>
        <v>6</v>
      </c>
      <c r="H92" s="181"/>
      <c r="I92" s="204" t="s">
        <v>205</v>
      </c>
      <c r="J92" s="177"/>
      <c r="K92" s="181">
        <f>+'Segment  2006 YTD'!Q22</f>
        <v>-35</v>
      </c>
      <c r="L92" s="181"/>
      <c r="M92" s="206">
        <f>+'Segment  2006 YTD'!Q45</f>
        <v>-25</v>
      </c>
      <c r="N92" s="181"/>
      <c r="O92" s="204" t="s">
        <v>205</v>
      </c>
      <c r="P92" s="161"/>
      <c r="Q92"/>
    </row>
    <row r="93" spans="2:17" ht="12.75">
      <c r="B93" s="16"/>
      <c r="C93" s="177" t="s">
        <v>129</v>
      </c>
      <c r="D93" s="177"/>
      <c r="E93" s="206">
        <f>+'Segment  2006 Qtr'!Q23</f>
        <v>124</v>
      </c>
      <c r="F93" s="181"/>
      <c r="G93" s="206">
        <f>+'Segment  2006 Qtr'!Q44</f>
        <v>4</v>
      </c>
      <c r="H93" s="181"/>
      <c r="I93" s="180">
        <f>(+E93-G93)/G93</f>
        <v>30</v>
      </c>
      <c r="J93" s="177"/>
      <c r="K93" s="206">
        <f>+'Segment  2006 YTD'!Q23</f>
        <v>522</v>
      </c>
      <c r="L93" s="181"/>
      <c r="M93" s="206">
        <f>+'Segment  2006 YTD'!Q46</f>
        <v>273</v>
      </c>
      <c r="N93" s="181"/>
      <c r="O93" s="180">
        <f>(+K93-M93)/M93</f>
        <v>0.9120879120879121</v>
      </c>
      <c r="P93" s="161"/>
      <c r="Q93"/>
    </row>
    <row r="94" spans="2:17" ht="14.25" customHeight="1">
      <c r="B94" s="16"/>
      <c r="C94" s="205" t="s">
        <v>382</v>
      </c>
      <c r="D94" s="177"/>
      <c r="E94" s="14">
        <v>0</v>
      </c>
      <c r="F94" s="14"/>
      <c r="G94" s="14">
        <v>0</v>
      </c>
      <c r="H94" s="10"/>
      <c r="I94" s="540" t="s">
        <v>205</v>
      </c>
      <c r="J94" s="177"/>
      <c r="K94" s="14">
        <f>+'Segment  2006 YTD'!Q24</f>
        <v>4</v>
      </c>
      <c r="L94" s="14"/>
      <c r="M94" s="14">
        <v>0</v>
      </c>
      <c r="N94" s="10"/>
      <c r="O94" s="540" t="e">
        <f>(+K94-M94)/M94</f>
        <v>#DIV/0!</v>
      </c>
      <c r="P94" s="161"/>
      <c r="Q94"/>
    </row>
    <row r="95" spans="2:17" ht="12.75">
      <c r="B95" s="16"/>
      <c r="C95" s="177" t="s">
        <v>220</v>
      </c>
      <c r="D95" s="177"/>
      <c r="E95" s="179">
        <f>+E87+E89-E92-E91-E93+E90+E94</f>
        <v>665</v>
      </c>
      <c r="F95" s="181"/>
      <c r="G95" s="179">
        <f>+G87+G89-G92-G91-G93+G90+G94</f>
        <v>236</v>
      </c>
      <c r="H95" s="181"/>
      <c r="I95" s="180">
        <f>(+E95-G95)/G95</f>
        <v>1.8177966101694916</v>
      </c>
      <c r="J95" s="177"/>
      <c r="K95" s="179">
        <f>+K87+K89-K92-K91-K93+K90+K94</f>
        <v>2305</v>
      </c>
      <c r="L95" s="181"/>
      <c r="M95" s="179">
        <f>+M87+M89-M92-M91-M93+M90+M94</f>
        <v>1028</v>
      </c>
      <c r="N95" s="181"/>
      <c r="O95" s="180">
        <f>(+K95-M95)/M95</f>
        <v>1.2422178988326849</v>
      </c>
      <c r="P95" s="161"/>
      <c r="Q95"/>
    </row>
    <row r="96" spans="2:17" ht="6.75" customHeight="1">
      <c r="B96" s="16"/>
      <c r="D96" s="177"/>
      <c r="E96" s="203"/>
      <c r="F96" s="203"/>
      <c r="G96" s="258"/>
      <c r="H96" s="203"/>
      <c r="I96" s="176"/>
      <c r="J96" s="177"/>
      <c r="K96" s="179"/>
      <c r="L96" s="181"/>
      <c r="M96" s="179"/>
      <c r="N96" s="181"/>
      <c r="O96" s="204"/>
      <c r="P96" s="161"/>
      <c r="Q96"/>
    </row>
    <row r="97" spans="2:17" ht="12.75">
      <c r="B97" s="16"/>
      <c r="C97" s="177" t="s">
        <v>209</v>
      </c>
      <c r="D97" s="177"/>
      <c r="E97" s="206">
        <f>+E90</f>
        <v>15</v>
      </c>
      <c r="F97" s="206"/>
      <c r="G97" s="206">
        <f>+G90</f>
        <v>-25</v>
      </c>
      <c r="H97" s="181"/>
      <c r="I97" s="180">
        <f>(+E97-G97)/G97</f>
        <v>-1.6</v>
      </c>
      <c r="J97" s="177"/>
      <c r="K97" s="206">
        <f>+K90</f>
        <v>-98</v>
      </c>
      <c r="L97" s="206"/>
      <c r="M97" s="206">
        <f>+M90</f>
        <v>76</v>
      </c>
      <c r="N97" s="181"/>
      <c r="O97" s="180">
        <f>(+K97-M97)/M97</f>
        <v>-2.289473684210526</v>
      </c>
      <c r="P97" s="161"/>
      <c r="Q97"/>
    </row>
    <row r="98" spans="2:17" ht="12.75">
      <c r="B98" s="16"/>
      <c r="C98" s="177" t="s">
        <v>266</v>
      </c>
      <c r="D98" s="177"/>
      <c r="E98" s="206">
        <f>+'Segment  2006 Qtr'!Q27</f>
        <v>-7</v>
      </c>
      <c r="F98" s="206"/>
      <c r="G98" s="206">
        <f>+'Segment  2006 Qtr'!Q48</f>
        <v>-17</v>
      </c>
      <c r="H98" s="181"/>
      <c r="I98" s="180">
        <f>(+E98-G98)/G98</f>
        <v>-0.5882352941176471</v>
      </c>
      <c r="J98" s="177"/>
      <c r="K98" s="206">
        <f>+'Segment  2006 YTD'!Q28</f>
        <v>-48</v>
      </c>
      <c r="L98" s="206"/>
      <c r="M98" s="206">
        <f>+'Segment  2006 YTD'!Q50</f>
        <v>3</v>
      </c>
      <c r="N98" s="181"/>
      <c r="O98" s="180">
        <f>(+K98-M98)/M98</f>
        <v>-17</v>
      </c>
      <c r="P98" s="161"/>
      <c r="Q98"/>
    </row>
    <row r="99" spans="2:17" ht="22.5">
      <c r="B99" s="16"/>
      <c r="C99" s="205" t="s">
        <v>382</v>
      </c>
      <c r="D99" s="177"/>
      <c r="E99" s="14">
        <f>+E94</f>
        <v>0</v>
      </c>
      <c r="F99" s="14"/>
      <c r="G99" s="14">
        <v>0</v>
      </c>
      <c r="H99" s="10"/>
      <c r="I99" s="204" t="s">
        <v>205</v>
      </c>
      <c r="J99" s="529"/>
      <c r="K99" s="206">
        <f>+'Segment  2006 YTD'!Q29</f>
        <v>4</v>
      </c>
      <c r="L99" s="206"/>
      <c r="M99" s="206">
        <f>+'Segment  2006 YTD'!O50</f>
        <v>0</v>
      </c>
      <c r="N99" s="181"/>
      <c r="O99" s="204" t="s">
        <v>205</v>
      </c>
      <c r="P99"/>
      <c r="Q99"/>
    </row>
    <row r="100" spans="2:17" ht="13.5" thickBot="1">
      <c r="B100" s="16"/>
      <c r="C100" s="205" t="s">
        <v>122</v>
      </c>
      <c r="D100" s="177"/>
      <c r="E100" s="259">
        <f>+E95-E97+E98-E99</f>
        <v>643</v>
      </c>
      <c r="F100" s="195"/>
      <c r="G100" s="259">
        <f>+G95-G97+G98-G99</f>
        <v>244</v>
      </c>
      <c r="H100" s="179"/>
      <c r="I100" s="207">
        <f>(+E100-G100)/G100</f>
        <v>1.6352459016393444</v>
      </c>
      <c r="J100" s="529"/>
      <c r="K100" s="259">
        <f>+K95-K97+K98-K99</f>
        <v>2351</v>
      </c>
      <c r="L100" s="195"/>
      <c r="M100" s="259">
        <f>+M95-M97+M98-M99</f>
        <v>955</v>
      </c>
      <c r="N100" s="179"/>
      <c r="O100" s="207">
        <f>(+K100-M100)/M100</f>
        <v>1.4617801047120418</v>
      </c>
      <c r="P100"/>
      <c r="Q100"/>
    </row>
    <row r="101" spans="10:17" ht="13.5" thickTop="1">
      <c r="J101"/>
      <c r="K101" s="206"/>
      <c r="L101" s="206"/>
      <c r="M101" s="206"/>
      <c r="N101" s="206"/>
      <c r="O101" s="343"/>
      <c r="P101"/>
      <c r="Q101"/>
    </row>
    <row r="102" spans="10:17" ht="12.75">
      <c r="J102"/>
      <c r="K102" s="257"/>
      <c r="L102" s="257"/>
      <c r="M102" s="257"/>
      <c r="N102" s="257"/>
      <c r="O102" s="343"/>
      <c r="P102"/>
      <c r="Q102"/>
    </row>
    <row r="103" spans="10:17" ht="12.75">
      <c r="J103"/>
      <c r="K103"/>
      <c r="L103"/>
      <c r="M103"/>
      <c r="N103"/>
      <c r="O103"/>
      <c r="P103"/>
      <c r="Q103"/>
    </row>
    <row r="104" spans="10:17" ht="12.75">
      <c r="J104"/>
      <c r="K104"/>
      <c r="L104"/>
      <c r="M104"/>
      <c r="N104"/>
      <c r="O104"/>
      <c r="P104"/>
      <c r="Q104"/>
    </row>
    <row r="105" spans="10:17" ht="12.75">
      <c r="J105"/>
      <c r="K105"/>
      <c r="L105"/>
      <c r="M105"/>
      <c r="N105"/>
      <c r="O105"/>
      <c r="P105"/>
      <c r="Q105"/>
    </row>
    <row r="106" spans="10:17" ht="12.75">
      <c r="J106"/>
      <c r="K106"/>
      <c r="L106"/>
      <c r="M106"/>
      <c r="N106"/>
      <c r="O106"/>
      <c r="P106"/>
      <c r="Q106"/>
    </row>
    <row r="107" spans="10:17" ht="12.75">
      <c r="J107"/>
      <c r="K107"/>
      <c r="L107"/>
      <c r="M107"/>
      <c r="N107"/>
      <c r="O107"/>
      <c r="P107"/>
      <c r="Q107"/>
    </row>
    <row r="108" spans="10:17" ht="12.75">
      <c r="J108"/>
      <c r="K108"/>
      <c r="L108"/>
      <c r="M108"/>
      <c r="N108"/>
      <c r="O108"/>
      <c r="P108"/>
      <c r="Q108"/>
    </row>
    <row r="109" spans="11:15" ht="12.75">
      <c r="K109"/>
      <c r="L109"/>
      <c r="M109"/>
      <c r="N109"/>
      <c r="O109"/>
    </row>
    <row r="110" spans="11:15" ht="12.75">
      <c r="K110"/>
      <c r="L110"/>
      <c r="M110"/>
      <c r="N110"/>
      <c r="O110"/>
    </row>
  </sheetData>
  <sheetProtection objects="1"/>
  <mergeCells count="15">
    <mergeCell ref="E6:G6"/>
    <mergeCell ref="C1:P1"/>
    <mergeCell ref="C2:P2"/>
    <mergeCell ref="C3:P3"/>
    <mergeCell ref="C4:P4"/>
    <mergeCell ref="D7:H7"/>
    <mergeCell ref="C49:M49"/>
    <mergeCell ref="D74:H74"/>
    <mergeCell ref="K6:M6"/>
    <mergeCell ref="J7:N7"/>
    <mergeCell ref="J74:N74"/>
    <mergeCell ref="C71:O71"/>
    <mergeCell ref="C70:O70"/>
    <mergeCell ref="C69:O69"/>
    <mergeCell ref="C72:O72"/>
  </mergeCells>
  <hyperlinks>
    <hyperlink ref="C48" location="'Reconciliation Non-GAAP'!Print_Area" display="(1) See page 23 Non-GAAP Financial Measures."/>
  </hyperlinks>
  <printOptions/>
  <pageMargins left="0.5" right="0.5" top="0.5" bottom="0.5" header="0.75" footer="0.25"/>
  <pageSetup horizontalDpi="600" verticalDpi="600" orientation="landscape" r:id="rId2"/>
  <headerFooter alignWithMargins="0">
    <oddFooter>&amp;L&amp;A&amp;R&amp;"Arial,Regular"&amp;8Page 1</oddFooter>
  </headerFooter>
  <drawing r:id="rId1"/>
</worksheet>
</file>

<file path=xl/worksheets/sheet30.xml><?xml version="1.0" encoding="utf-8"?>
<worksheet xmlns="http://schemas.openxmlformats.org/spreadsheetml/2006/main" xmlns:r="http://schemas.openxmlformats.org/officeDocument/2006/relationships">
  <sheetPr codeName="Sheet36"/>
  <dimension ref="A1:P50"/>
  <sheetViews>
    <sheetView workbookViewId="0" topLeftCell="A1">
      <selection activeCell="A6" sqref="A6"/>
    </sheetView>
  </sheetViews>
  <sheetFormatPr defaultColWidth="9.33203125" defaultRowHeight="12.75"/>
  <cols>
    <col min="1" max="1" width="2.83203125" style="1" customWidth="1"/>
    <col min="2" max="2" width="54.83203125" style="1" customWidth="1"/>
    <col min="3" max="3" width="16.83203125" style="1" customWidth="1"/>
    <col min="4" max="4" width="10.16015625" style="1" customWidth="1"/>
    <col min="5" max="5" width="16.66015625" style="1" customWidth="1"/>
    <col min="6" max="6" width="16.83203125" style="1" customWidth="1"/>
    <col min="7" max="7" width="24.33203125" style="1" customWidth="1"/>
    <col min="8" max="8" width="5.33203125" style="1" customWidth="1"/>
    <col min="9" max="16384" width="8.16015625" style="1" customWidth="1"/>
  </cols>
  <sheetData>
    <row r="1" spans="1:16" ht="12.75">
      <c r="A1" s="619" t="s">
        <v>96</v>
      </c>
      <c r="B1" s="619"/>
      <c r="C1" s="619"/>
      <c r="D1" s="619"/>
      <c r="E1" s="619"/>
      <c r="F1" s="619"/>
      <c r="G1" s="619"/>
      <c r="H1" s="355"/>
      <c r="I1" s="355"/>
      <c r="J1" s="355"/>
      <c r="K1" s="355"/>
      <c r="L1" s="355"/>
      <c r="M1" s="355"/>
      <c r="N1" s="355"/>
      <c r="O1" s="24"/>
      <c r="P1" s="24"/>
    </row>
    <row r="2" spans="1:16" ht="12">
      <c r="A2" s="618" t="s">
        <v>215</v>
      </c>
      <c r="B2" s="618"/>
      <c r="C2" s="618"/>
      <c r="D2" s="618"/>
      <c r="E2" s="618"/>
      <c r="F2" s="618"/>
      <c r="G2" s="618"/>
      <c r="H2" s="618"/>
      <c r="I2" s="618"/>
      <c r="J2" s="618"/>
      <c r="K2" s="618"/>
      <c r="L2" s="618"/>
      <c r="M2" s="618"/>
      <c r="N2" s="618"/>
      <c r="O2" s="24"/>
      <c r="P2" s="24"/>
    </row>
    <row r="3" spans="1:16" ht="12">
      <c r="A3" s="646"/>
      <c r="B3" s="646"/>
      <c r="C3" s="646"/>
      <c r="D3" s="646"/>
      <c r="E3" s="646"/>
      <c r="F3" s="646"/>
      <c r="G3" s="646"/>
      <c r="H3" s="646"/>
      <c r="I3" s="646"/>
      <c r="J3" s="646"/>
      <c r="K3" s="646"/>
      <c r="L3" s="646"/>
      <c r="M3" s="646"/>
      <c r="N3" s="646"/>
      <c r="O3" s="24"/>
      <c r="P3" s="24"/>
    </row>
    <row r="4" spans="1:16" ht="12">
      <c r="A4" s="646"/>
      <c r="B4" s="646"/>
      <c r="C4" s="646"/>
      <c r="D4" s="646"/>
      <c r="E4" s="646"/>
      <c r="F4" s="646"/>
      <c r="G4" s="646"/>
      <c r="H4" s="646"/>
      <c r="I4" s="646"/>
      <c r="J4" s="646"/>
      <c r="K4" s="646"/>
      <c r="L4" s="646"/>
      <c r="M4" s="646"/>
      <c r="N4" s="646"/>
      <c r="O4" s="24"/>
      <c r="P4" s="24"/>
    </row>
    <row r="5" spans="2:4" ht="11.25">
      <c r="B5" s="645"/>
      <c r="C5" s="645"/>
      <c r="D5" s="645"/>
    </row>
    <row r="6" spans="2:15" ht="11.25">
      <c r="B6" s="15"/>
      <c r="M6" s="24"/>
      <c r="N6" s="646"/>
      <c r="O6" s="646"/>
    </row>
    <row r="7" ht="7.5" customHeight="1">
      <c r="P7" s="7"/>
    </row>
    <row r="8" spans="1:16" ht="23.25" customHeight="1">
      <c r="A8" s="94"/>
      <c r="B8" s="649" t="s">
        <v>384</v>
      </c>
      <c r="C8" s="650"/>
      <c r="D8" s="650"/>
      <c r="E8" s="650"/>
      <c r="F8" s="650"/>
      <c r="G8" s="650"/>
      <c r="H8" s="160"/>
      <c r="P8" s="7"/>
    </row>
    <row r="9" spans="1:16" ht="7.5" customHeight="1">
      <c r="A9" s="94"/>
      <c r="B9" s="74"/>
      <c r="C9" s="100"/>
      <c r="D9" s="99"/>
      <c r="E9" s="99"/>
      <c r="F9" s="99"/>
      <c r="G9" s="98"/>
      <c r="P9" s="7"/>
    </row>
    <row r="10" spans="1:16" ht="13.5" customHeight="1">
      <c r="A10" s="94"/>
      <c r="B10" s="649" t="s">
        <v>343</v>
      </c>
      <c r="C10" s="650"/>
      <c r="D10" s="650"/>
      <c r="E10" s="650"/>
      <c r="F10" s="650"/>
      <c r="G10" s="650"/>
      <c r="P10" s="7"/>
    </row>
    <row r="11" spans="1:16" ht="7.5" customHeight="1">
      <c r="A11" s="94"/>
      <c r="B11" s="74"/>
      <c r="C11" s="100"/>
      <c r="D11" s="99"/>
      <c r="E11" s="99"/>
      <c r="F11" s="99"/>
      <c r="G11" s="98"/>
      <c r="P11" s="7"/>
    </row>
    <row r="12" spans="1:16" ht="20.25" customHeight="1">
      <c r="A12" s="94"/>
      <c r="B12" s="649" t="s">
        <v>458</v>
      </c>
      <c r="C12" s="650"/>
      <c r="D12" s="650"/>
      <c r="E12" s="650"/>
      <c r="F12" s="650"/>
      <c r="G12" s="650"/>
      <c r="P12" s="7"/>
    </row>
    <row r="13" spans="1:16" ht="7.5" customHeight="1">
      <c r="A13" s="94"/>
      <c r="B13" s="74"/>
      <c r="C13" s="100"/>
      <c r="D13" s="99"/>
      <c r="E13" s="99"/>
      <c r="F13" s="99"/>
      <c r="G13" s="98"/>
      <c r="P13" s="7"/>
    </row>
    <row r="14" spans="2:7" ht="21" customHeight="1">
      <c r="B14" s="649" t="s">
        <v>388</v>
      </c>
      <c r="C14" s="650"/>
      <c r="D14" s="650"/>
      <c r="E14" s="650"/>
      <c r="F14" s="650"/>
      <c r="G14" s="650"/>
    </row>
    <row r="15" spans="1:16" ht="7.5" customHeight="1">
      <c r="A15" s="94"/>
      <c r="B15" s="74"/>
      <c r="C15" s="100"/>
      <c r="D15" s="99"/>
      <c r="E15" s="99"/>
      <c r="F15" s="99"/>
      <c r="G15" s="98"/>
      <c r="P15" s="7"/>
    </row>
    <row r="16" spans="1:16" ht="12.75" customHeight="1">
      <c r="A16" s="94"/>
      <c r="B16" s="649" t="s">
        <v>427</v>
      </c>
      <c r="C16" s="650"/>
      <c r="D16" s="650"/>
      <c r="E16" s="650"/>
      <c r="F16" s="650"/>
      <c r="G16" s="650"/>
      <c r="P16" s="7"/>
    </row>
    <row r="17" spans="1:16" ht="7.5" customHeight="1">
      <c r="A17" s="94"/>
      <c r="B17" s="74"/>
      <c r="C17" s="100"/>
      <c r="D17" s="99"/>
      <c r="E17" s="99"/>
      <c r="F17" s="99"/>
      <c r="G17" s="98"/>
      <c r="P17" s="7"/>
    </row>
    <row r="18" spans="1:16" ht="12.75" customHeight="1">
      <c r="A18" s="94"/>
      <c r="B18" s="649" t="s">
        <v>24</v>
      </c>
      <c r="C18" s="650"/>
      <c r="D18" s="650"/>
      <c r="E18" s="650"/>
      <c r="F18" s="650"/>
      <c r="G18" s="650"/>
      <c r="P18" s="7"/>
    </row>
    <row r="19" spans="1:16" ht="7.5" customHeight="1">
      <c r="A19" s="94"/>
      <c r="B19" s="74"/>
      <c r="C19" s="100"/>
      <c r="D19" s="99"/>
      <c r="E19" s="99"/>
      <c r="F19" s="99"/>
      <c r="G19" s="98"/>
      <c r="P19" s="7"/>
    </row>
    <row r="20" spans="1:16" ht="13.5" customHeight="1">
      <c r="A20" s="94"/>
      <c r="B20" s="649" t="s">
        <v>25</v>
      </c>
      <c r="C20" s="650"/>
      <c r="D20" s="650"/>
      <c r="E20" s="650"/>
      <c r="F20" s="650"/>
      <c r="G20" s="650"/>
      <c r="H20" s="650"/>
      <c r="P20" s="7"/>
    </row>
    <row r="21" spans="1:16" ht="7.5" customHeight="1">
      <c r="A21" s="94"/>
      <c r="B21" s="74"/>
      <c r="C21" s="100"/>
      <c r="D21" s="99"/>
      <c r="E21" s="99"/>
      <c r="F21" s="99"/>
      <c r="G21" s="98"/>
      <c r="P21" s="7"/>
    </row>
    <row r="22" spans="1:16" ht="12.75" customHeight="1">
      <c r="A22" s="94"/>
      <c r="B22" s="587" t="s">
        <v>26</v>
      </c>
      <c r="C22" s="99"/>
      <c r="D22" s="99"/>
      <c r="E22" s="99"/>
      <c r="F22" s="99"/>
      <c r="G22" s="99"/>
      <c r="P22" s="7"/>
    </row>
    <row r="23" spans="1:7" ht="7.5" customHeight="1">
      <c r="A23" s="94"/>
      <c r="B23" s="67"/>
      <c r="C23" s="99"/>
      <c r="D23" s="99"/>
      <c r="E23" s="99"/>
      <c r="F23" s="99"/>
      <c r="G23" s="99"/>
    </row>
    <row r="24" spans="1:7" ht="12.75" customHeight="1">
      <c r="A24" s="94"/>
      <c r="B24" s="649" t="s">
        <v>27</v>
      </c>
      <c r="C24" s="650"/>
      <c r="D24" s="650"/>
      <c r="E24" s="650"/>
      <c r="F24" s="650"/>
      <c r="G24" s="650"/>
    </row>
    <row r="25" spans="1:14" ht="7.5" customHeight="1">
      <c r="A25" s="94"/>
      <c r="B25" s="74"/>
      <c r="C25" s="100"/>
      <c r="D25" s="99"/>
      <c r="E25" s="99"/>
      <c r="F25" s="99"/>
      <c r="G25" s="98"/>
      <c r="L25" s="646"/>
      <c r="M25" s="646"/>
      <c r="N25" s="646"/>
    </row>
    <row r="26" spans="2:8" ht="13.5" customHeight="1">
      <c r="B26" s="649" t="s">
        <v>457</v>
      </c>
      <c r="C26" s="650"/>
      <c r="D26" s="650"/>
      <c r="E26" s="650"/>
      <c r="F26" s="650"/>
      <c r="G26" s="650"/>
      <c r="H26" s="24"/>
    </row>
    <row r="27" spans="1:7" ht="7.5" customHeight="1">
      <c r="A27" s="94"/>
      <c r="B27" s="74"/>
      <c r="C27" s="100"/>
      <c r="D27" s="99"/>
      <c r="E27" s="99"/>
      <c r="F27" s="99"/>
      <c r="G27" s="98"/>
    </row>
    <row r="28" spans="2:8" ht="13.5" customHeight="1">
      <c r="B28" s="649" t="s">
        <v>468</v>
      </c>
      <c r="C28" s="651"/>
      <c r="D28" s="651"/>
      <c r="E28" s="651"/>
      <c r="F28" s="651"/>
      <c r="G28" s="651"/>
      <c r="H28" s="24"/>
    </row>
    <row r="29" spans="1:7" ht="7.5" customHeight="1">
      <c r="A29" s="94"/>
      <c r="B29" s="74"/>
      <c r="C29" s="100"/>
      <c r="D29" s="99"/>
      <c r="E29" s="99"/>
      <c r="F29" s="99"/>
      <c r="G29" s="98"/>
    </row>
    <row r="30" spans="1:7" ht="24.75" customHeight="1">
      <c r="A30" s="94"/>
      <c r="B30" s="649" t="s">
        <v>385</v>
      </c>
      <c r="C30" s="650"/>
      <c r="D30" s="650"/>
      <c r="E30" s="650"/>
      <c r="F30" s="650"/>
      <c r="G30" s="650"/>
    </row>
    <row r="31" spans="1:7" ht="7.5" customHeight="1">
      <c r="A31" s="94"/>
      <c r="B31" s="74"/>
      <c r="C31" s="100"/>
      <c r="D31" s="99"/>
      <c r="E31" s="99"/>
      <c r="F31" s="99"/>
      <c r="G31" s="98"/>
    </row>
    <row r="32" spans="1:16" ht="13.5" customHeight="1">
      <c r="A32" s="94"/>
      <c r="B32" s="649" t="s">
        <v>342</v>
      </c>
      <c r="C32" s="650"/>
      <c r="D32" s="650"/>
      <c r="E32" s="650"/>
      <c r="F32" s="650"/>
      <c r="G32" s="650"/>
      <c r="P32" s="7"/>
    </row>
    <row r="33" spans="1:16" ht="7.5" customHeight="1">
      <c r="A33" s="94"/>
      <c r="B33" s="74"/>
      <c r="C33" s="100"/>
      <c r="D33" s="99"/>
      <c r="E33" s="99"/>
      <c r="F33" s="99"/>
      <c r="G33" s="98"/>
      <c r="P33" s="7"/>
    </row>
    <row r="34" spans="1:8" s="101" customFormat="1" ht="12.75" customHeight="1">
      <c r="A34" s="94"/>
      <c r="B34" s="586" t="s">
        <v>28</v>
      </c>
      <c r="C34" s="652"/>
      <c r="D34" s="652"/>
      <c r="E34" s="652"/>
      <c r="F34" s="652"/>
      <c r="G34" s="652"/>
      <c r="H34" s="1"/>
    </row>
    <row r="35" spans="1:8" s="101" customFormat="1" ht="7.5" customHeight="1">
      <c r="A35" s="94"/>
      <c r="B35" s="74"/>
      <c r="C35" s="100"/>
      <c r="D35" s="99"/>
      <c r="E35" s="99"/>
      <c r="F35" s="99"/>
      <c r="G35" s="98"/>
      <c r="H35" s="1"/>
    </row>
    <row r="36" spans="2:7" ht="12.75">
      <c r="B36" s="649" t="s">
        <v>290</v>
      </c>
      <c r="C36" s="650"/>
      <c r="D36" s="650"/>
      <c r="E36" s="650"/>
      <c r="F36" s="650"/>
      <c r="G36" s="650"/>
    </row>
    <row r="37" spans="2:7" ht="7.5" customHeight="1">
      <c r="B37" s="74"/>
      <c r="C37" s="100"/>
      <c r="D37" s="99"/>
      <c r="E37" s="99"/>
      <c r="F37" s="99"/>
      <c r="G37" s="98"/>
    </row>
    <row r="38" spans="2:7" ht="11.25">
      <c r="B38" s="649" t="s">
        <v>262</v>
      </c>
      <c r="C38" s="649"/>
      <c r="D38" s="649"/>
      <c r="E38" s="649"/>
      <c r="F38" s="649"/>
      <c r="G38" s="649"/>
    </row>
    <row r="39" spans="2:6" ht="11.25">
      <c r="B39" s="77"/>
      <c r="C39" s="96"/>
      <c r="D39" s="7"/>
      <c r="E39" s="7"/>
      <c r="F39" s="7"/>
    </row>
    <row r="40" spans="2:6" ht="12.75" customHeight="1">
      <c r="B40" s="74"/>
      <c r="C40" s="96"/>
      <c r="D40" s="7"/>
      <c r="E40" s="7"/>
      <c r="F40" s="7"/>
    </row>
    <row r="41" spans="2:8" ht="12.75" customHeight="1">
      <c r="B41" s="77"/>
      <c r="C41" s="96"/>
      <c r="D41" s="7"/>
      <c r="E41" s="7"/>
      <c r="F41" s="7"/>
      <c r="H41" s="7"/>
    </row>
    <row r="42" spans="2:8" ht="12.75" customHeight="1">
      <c r="B42" s="7"/>
      <c r="C42" s="7"/>
      <c r="D42" s="7"/>
      <c r="E42" s="7"/>
      <c r="F42" s="7"/>
      <c r="G42" s="7"/>
      <c r="H42" s="7"/>
    </row>
    <row r="43" spans="2:8" ht="12.75" customHeight="1">
      <c r="B43" s="7"/>
      <c r="C43" s="7"/>
      <c r="D43" s="7"/>
      <c r="E43" s="7"/>
      <c r="F43" s="7"/>
      <c r="G43" s="7"/>
      <c r="H43" s="7"/>
    </row>
    <row r="44" spans="2:8" ht="12.75" customHeight="1">
      <c r="B44" s="7"/>
      <c r="C44" s="7"/>
      <c r="D44" s="7"/>
      <c r="E44" s="7"/>
      <c r="F44" s="7"/>
      <c r="G44" s="7"/>
      <c r="H44" s="7"/>
    </row>
    <row r="45" spans="2:8" ht="12.75" customHeight="1">
      <c r="B45" s="7"/>
      <c r="C45" s="7"/>
      <c r="D45" s="7"/>
      <c r="E45" s="7"/>
      <c r="F45" s="7"/>
      <c r="G45" s="7"/>
      <c r="H45" s="7"/>
    </row>
    <row r="46" spans="1:8" ht="12.75" customHeight="1">
      <c r="A46" s="98"/>
      <c r="B46" s="7"/>
      <c r="C46" s="7"/>
      <c r="D46" s="7"/>
      <c r="E46" s="7"/>
      <c r="F46" s="7"/>
      <c r="G46" s="7"/>
      <c r="H46" s="7"/>
    </row>
    <row r="47" spans="1:8" ht="12.75" customHeight="1">
      <c r="A47" s="98"/>
      <c r="B47" s="7"/>
      <c r="C47" s="7"/>
      <c r="D47" s="7"/>
      <c r="E47" s="7"/>
      <c r="F47" s="7"/>
      <c r="G47" s="7"/>
      <c r="H47" s="7"/>
    </row>
    <row r="48" spans="1:8" ht="12.75" customHeight="1">
      <c r="A48" s="98"/>
      <c r="B48" s="99"/>
      <c r="C48" s="99"/>
      <c r="D48" s="99"/>
      <c r="E48" s="99"/>
      <c r="F48" s="99"/>
      <c r="G48" s="99"/>
      <c r="H48" s="99"/>
    </row>
    <row r="49" spans="2:8" ht="12.75" customHeight="1">
      <c r="B49" s="7"/>
      <c r="C49" s="7"/>
      <c r="D49" s="7"/>
      <c r="E49" s="7"/>
      <c r="F49" s="7"/>
      <c r="G49" s="7"/>
      <c r="H49" s="7"/>
    </row>
    <row r="50" ht="12.75" customHeight="1">
      <c r="A50" s="98"/>
    </row>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23">
    <mergeCell ref="B36:G36"/>
    <mergeCell ref="B38:G38"/>
    <mergeCell ref="L25:N25"/>
    <mergeCell ref="N6:O6"/>
    <mergeCell ref="B10:G10"/>
    <mergeCell ref="B14:G14"/>
    <mergeCell ref="C34:G34"/>
    <mergeCell ref="B32:G32"/>
    <mergeCell ref="B16:G16"/>
    <mergeCell ref="B18:G18"/>
    <mergeCell ref="A1:G1"/>
    <mergeCell ref="A2:G2"/>
    <mergeCell ref="B8:G8"/>
    <mergeCell ref="B12:G12"/>
    <mergeCell ref="B5:D5"/>
    <mergeCell ref="A3:N3"/>
    <mergeCell ref="A4:N4"/>
    <mergeCell ref="H2:N2"/>
    <mergeCell ref="B20:H20"/>
    <mergeCell ref="B30:G30"/>
    <mergeCell ref="B24:G24"/>
    <mergeCell ref="B28:G28"/>
    <mergeCell ref="B26:G26"/>
  </mergeCells>
  <printOptions/>
  <pageMargins left="0.5" right="0.5" top="0.5" bottom="0.58" header="0.75" footer="0.33"/>
  <pageSetup horizontalDpi="600" verticalDpi="600" orientation="landscape" r:id="rId2"/>
  <headerFooter alignWithMargins="0">
    <oddFooter>&amp;L&amp;A&amp;R&amp;"Arial,Regular"&amp;8Page 28</oddFooter>
  </headerFooter>
  <drawing r:id="rId1"/>
</worksheet>
</file>

<file path=xl/worksheets/sheet4.xml><?xml version="1.0" encoding="utf-8"?>
<worksheet xmlns="http://schemas.openxmlformats.org/spreadsheetml/2006/main" xmlns:r="http://schemas.openxmlformats.org/officeDocument/2006/relationships">
  <sheetPr codeName="Sheet171">
    <pageSetUpPr fitToPage="1"/>
  </sheetPr>
  <dimension ref="C1:Z116"/>
  <sheetViews>
    <sheetView workbookViewId="0" topLeftCell="A1">
      <selection activeCell="B5" sqref="B5"/>
    </sheetView>
  </sheetViews>
  <sheetFormatPr defaultColWidth="9.33203125" defaultRowHeight="12.75"/>
  <cols>
    <col min="1" max="1" width="1.83203125" style="1" customWidth="1"/>
    <col min="2" max="2" width="3.33203125" style="1" customWidth="1"/>
    <col min="3" max="3" width="54.66015625" style="1" customWidth="1"/>
    <col min="4" max="4" width="9.83203125" style="1" customWidth="1"/>
    <col min="5" max="5" width="2.33203125" style="1" customWidth="1"/>
    <col min="6" max="6" width="9.83203125" style="1" customWidth="1"/>
    <col min="7" max="7" width="2.33203125" style="7" customWidth="1"/>
    <col min="8" max="8" width="9.83203125" style="1" customWidth="1"/>
    <col min="9" max="9" width="2.33203125" style="7" customWidth="1"/>
    <col min="10" max="10" width="9.83203125" style="1" customWidth="1"/>
    <col min="11" max="11" width="2.33203125" style="7" customWidth="1"/>
    <col min="12" max="12" width="9.83203125" style="1" customWidth="1"/>
    <col min="13" max="13" width="2.33203125" style="7" customWidth="1"/>
    <col min="14" max="14" width="9.83203125" style="7" customWidth="1"/>
    <col min="15" max="15" width="2.33203125" style="7" customWidth="1"/>
    <col min="16" max="16" width="9.83203125" style="7" customWidth="1"/>
    <col min="17" max="17" width="8.5" style="1" customWidth="1"/>
    <col min="18" max="18" width="15" style="1" customWidth="1"/>
    <col min="19" max="19" width="6" style="1" customWidth="1"/>
    <col min="20" max="20" width="10.16015625" style="1" bestFit="1" customWidth="1"/>
    <col min="21" max="16384" width="9" style="1" customWidth="1"/>
  </cols>
  <sheetData>
    <row r="1" spans="3:19" ht="12.75">
      <c r="C1" s="619" t="s">
        <v>96</v>
      </c>
      <c r="D1" s="619"/>
      <c r="E1" s="619"/>
      <c r="F1" s="619"/>
      <c r="G1" s="619"/>
      <c r="H1" s="619"/>
      <c r="I1" s="619"/>
      <c r="J1" s="619"/>
      <c r="K1" s="619"/>
      <c r="L1" s="619"/>
      <c r="M1" s="619"/>
      <c r="N1" s="619"/>
      <c r="O1" s="619"/>
      <c r="P1" s="619"/>
      <c r="Q1" s="355"/>
      <c r="R1" s="355"/>
      <c r="S1" s="355"/>
    </row>
    <row r="2" spans="3:19" ht="12.75" customHeight="1">
      <c r="C2" s="618" t="s">
        <v>239</v>
      </c>
      <c r="D2" s="618"/>
      <c r="E2" s="618"/>
      <c r="F2" s="618"/>
      <c r="G2" s="618"/>
      <c r="H2" s="618"/>
      <c r="I2" s="618"/>
      <c r="J2" s="618"/>
      <c r="K2" s="618"/>
      <c r="L2" s="618"/>
      <c r="M2" s="618"/>
      <c r="N2" s="618"/>
      <c r="O2" s="618"/>
      <c r="P2" s="618"/>
      <c r="Q2" s="56"/>
      <c r="R2" s="56"/>
      <c r="S2" s="56"/>
    </row>
    <row r="3" spans="3:17" ht="12.75" customHeight="1">
      <c r="C3" s="617" t="s">
        <v>154</v>
      </c>
      <c r="D3" s="617"/>
      <c r="E3" s="617"/>
      <c r="F3" s="617"/>
      <c r="G3" s="617"/>
      <c r="H3" s="617"/>
      <c r="I3" s="617"/>
      <c r="J3" s="617"/>
      <c r="K3" s="617"/>
      <c r="L3" s="617"/>
      <c r="M3" s="617"/>
      <c r="N3" s="617"/>
      <c r="O3" s="617"/>
      <c r="P3" s="617"/>
      <c r="Q3" s="356"/>
    </row>
    <row r="4" spans="3:17" ht="12.75" customHeight="1">
      <c r="C4" s="617" t="s">
        <v>170</v>
      </c>
      <c r="D4" s="617"/>
      <c r="E4" s="617"/>
      <c r="F4" s="617"/>
      <c r="G4" s="617"/>
      <c r="H4" s="617"/>
      <c r="I4" s="617"/>
      <c r="J4" s="617"/>
      <c r="K4" s="617"/>
      <c r="L4" s="617"/>
      <c r="M4" s="617"/>
      <c r="N4" s="617"/>
      <c r="O4" s="617"/>
      <c r="P4" s="617"/>
      <c r="Q4" s="356"/>
    </row>
    <row r="5" spans="3:21" ht="11.25" customHeight="1">
      <c r="C5" s="539"/>
      <c r="D5" s="306"/>
      <c r="E5" s="3"/>
      <c r="F5" s="2"/>
      <c r="G5" s="5"/>
      <c r="H5" s="260"/>
      <c r="I5" s="426"/>
      <c r="J5" s="260"/>
      <c r="K5" s="426"/>
      <c r="L5" s="260"/>
      <c r="M5" s="426"/>
      <c r="N5" s="260" t="s">
        <v>19</v>
      </c>
      <c r="O5" s="426"/>
      <c r="P5" s="260" t="s">
        <v>19</v>
      </c>
      <c r="Q5" s="2"/>
      <c r="T5" s="260"/>
      <c r="U5" s="260"/>
    </row>
    <row r="6" spans="3:21" ht="12.75">
      <c r="C6" s="3" t="s">
        <v>171</v>
      </c>
      <c r="D6" s="4" t="s">
        <v>432</v>
      </c>
      <c r="E6" s="3"/>
      <c r="F6" s="4" t="s">
        <v>408</v>
      </c>
      <c r="G6" s="3"/>
      <c r="H6" s="4" t="s">
        <v>404</v>
      </c>
      <c r="I6" s="5"/>
      <c r="J6" s="4" t="s">
        <v>356</v>
      </c>
      <c r="L6" s="4" t="s">
        <v>2</v>
      </c>
      <c r="N6" s="6">
        <v>2006</v>
      </c>
      <c r="P6" s="6">
        <v>2005</v>
      </c>
      <c r="Q6" s="124"/>
      <c r="T6" s="6" t="s">
        <v>414</v>
      </c>
      <c r="U6" s="550" t="s">
        <v>416</v>
      </c>
    </row>
    <row r="7" spans="3:21" ht="12.75" customHeight="1">
      <c r="C7" s="1" t="s">
        <v>526</v>
      </c>
      <c r="F7" s="2"/>
      <c r="H7" s="2"/>
      <c r="J7" s="2"/>
      <c r="L7" s="2"/>
      <c r="N7" s="170"/>
      <c r="P7" s="2"/>
      <c r="Q7" s="24"/>
      <c r="T7" s="170" t="s">
        <v>415</v>
      </c>
      <c r="U7" s="170"/>
    </row>
    <row r="8" spans="3:23" ht="11.25">
      <c r="C8" s="1" t="s">
        <v>131</v>
      </c>
      <c r="D8" s="33">
        <f>'Segment  2006 Qtr'!M10</f>
        <v>3932</v>
      </c>
      <c r="F8" s="33">
        <v>4228</v>
      </c>
      <c r="G8" s="34"/>
      <c r="H8" s="33">
        <v>4517</v>
      </c>
      <c r="I8" s="77"/>
      <c r="J8" s="33">
        <v>4450</v>
      </c>
      <c r="K8" s="77"/>
      <c r="L8" s="33">
        <v>3727</v>
      </c>
      <c r="M8" s="77"/>
      <c r="N8" s="33">
        <f aca="true" t="shared" si="0" ref="N8:N13">+D8+F8+H8+J8</f>
        <v>17127</v>
      </c>
      <c r="O8" s="77"/>
      <c r="P8" s="33">
        <v>16563</v>
      </c>
      <c r="Q8" s="280"/>
      <c r="T8" s="33">
        <v>12447</v>
      </c>
      <c r="U8" s="33">
        <v>-9</v>
      </c>
      <c r="V8" s="8">
        <v>-0.000722543352601156</v>
      </c>
      <c r="W8" s="9"/>
    </row>
    <row r="9" spans="3:23" ht="11.25">
      <c r="C9" s="1" t="s">
        <v>132</v>
      </c>
      <c r="D9" s="65">
        <f>'Segment  2006 Qtr'!M11</f>
        <v>2786</v>
      </c>
      <c r="F9" s="65">
        <v>2721</v>
      </c>
      <c r="G9" s="40"/>
      <c r="H9" s="65">
        <v>3000</v>
      </c>
      <c r="I9" s="77"/>
      <c r="J9" s="65">
        <v>3249</v>
      </c>
      <c r="K9" s="77"/>
      <c r="L9" s="65">
        <v>2561</v>
      </c>
      <c r="M9" s="77"/>
      <c r="N9" s="65">
        <f t="shared" si="0"/>
        <v>11756</v>
      </c>
      <c r="O9" s="77"/>
      <c r="P9" s="65">
        <v>11544</v>
      </c>
      <c r="Q9" s="280"/>
      <c r="T9" s="65">
        <v>8595</v>
      </c>
      <c r="U9" s="65">
        <v>-9</v>
      </c>
      <c r="V9" s="8">
        <v>-0.0010460251046025104</v>
      </c>
      <c r="W9" s="9"/>
    </row>
    <row r="10" spans="3:23" ht="11.25">
      <c r="C10" s="1" t="s">
        <v>133</v>
      </c>
      <c r="D10" s="65">
        <f>'Segment  2006 Qtr'!M12</f>
        <v>2948</v>
      </c>
      <c r="F10" s="65">
        <v>3019</v>
      </c>
      <c r="G10" s="40"/>
      <c r="H10" s="65">
        <v>2840</v>
      </c>
      <c r="I10" s="77"/>
      <c r="J10" s="65">
        <v>2744</v>
      </c>
      <c r="K10" s="77"/>
      <c r="L10" s="65">
        <v>2792</v>
      </c>
      <c r="M10" s="77"/>
      <c r="N10" s="65">
        <f t="shared" si="0"/>
        <v>11551</v>
      </c>
      <c r="O10" s="77"/>
      <c r="P10" s="65">
        <v>11500</v>
      </c>
      <c r="Q10" s="280"/>
      <c r="T10" s="65">
        <v>8269</v>
      </c>
      <c r="U10" s="65">
        <v>-9</v>
      </c>
      <c r="V10" s="8">
        <v>-0.001087219135056777</v>
      </c>
      <c r="W10" s="9"/>
    </row>
    <row r="11" spans="3:23" ht="11.25">
      <c r="C11" s="176" t="s">
        <v>126</v>
      </c>
      <c r="D11" s="65">
        <f>'Segment  2006 Qtr'!M13</f>
        <v>1824</v>
      </c>
      <c r="E11" s="176"/>
      <c r="F11" s="65">
        <v>1818</v>
      </c>
      <c r="G11" s="40"/>
      <c r="H11" s="65">
        <v>1748</v>
      </c>
      <c r="I11" s="77"/>
      <c r="J11" s="65">
        <v>1680</v>
      </c>
      <c r="K11" s="77"/>
      <c r="L11" s="65">
        <v>2135</v>
      </c>
      <c r="M11" s="77"/>
      <c r="N11" s="65">
        <f t="shared" si="0"/>
        <v>7070</v>
      </c>
      <c r="O11" s="77"/>
      <c r="P11" s="65">
        <v>8571</v>
      </c>
      <c r="Q11" s="280"/>
      <c r="T11" s="65">
        <v>5973</v>
      </c>
      <c r="U11" s="65">
        <v>-3</v>
      </c>
      <c r="V11" s="8">
        <v>-0.000502008032128514</v>
      </c>
      <c r="W11" s="9"/>
    </row>
    <row r="12" spans="3:23" ht="11.25">
      <c r="C12" s="176" t="s">
        <v>136</v>
      </c>
      <c r="D12" s="65">
        <f>'Segment  2006 Qtr'!M15</f>
        <v>424</v>
      </c>
      <c r="E12" s="176"/>
      <c r="F12" s="65">
        <v>430</v>
      </c>
      <c r="G12" s="40"/>
      <c r="H12" s="65">
        <v>423</v>
      </c>
      <c r="I12" s="77"/>
      <c r="J12" s="65">
        <v>412</v>
      </c>
      <c r="K12" s="77"/>
      <c r="L12" s="65">
        <v>418</v>
      </c>
      <c r="M12" s="77"/>
      <c r="N12" s="65">
        <f t="shared" si="0"/>
        <v>1689</v>
      </c>
      <c r="O12" s="77"/>
      <c r="P12" s="65">
        <v>1639</v>
      </c>
      <c r="Q12" s="280"/>
      <c r="T12" s="65">
        <v>1221</v>
      </c>
      <c r="U12" s="65">
        <v>-4</v>
      </c>
      <c r="V12" s="8">
        <v>-0.0032653061224489797</v>
      </c>
      <c r="W12" s="9"/>
    </row>
    <row r="13" spans="3:23" ht="11.25">
      <c r="C13" s="176" t="s">
        <v>134</v>
      </c>
      <c r="D13" s="65">
        <f>'Segment  2006 Qtr'!M16</f>
        <v>353</v>
      </c>
      <c r="E13" s="176"/>
      <c r="F13" s="65">
        <v>345</v>
      </c>
      <c r="G13" s="40"/>
      <c r="H13" s="65">
        <v>332</v>
      </c>
      <c r="I13" s="77"/>
      <c r="J13" s="65">
        <v>391</v>
      </c>
      <c r="K13" s="77"/>
      <c r="L13" s="65">
        <v>293</v>
      </c>
      <c r="M13" s="77"/>
      <c r="N13" s="65">
        <f t="shared" si="0"/>
        <v>1421</v>
      </c>
      <c r="O13" s="77"/>
      <c r="P13" s="65">
        <v>1242</v>
      </c>
      <c r="Q13" s="280"/>
      <c r="T13" s="65">
        <v>935</v>
      </c>
      <c r="U13" s="65">
        <v>-6</v>
      </c>
      <c r="V13" s="8">
        <v>-0.006376195536663124</v>
      </c>
      <c r="W13" s="9"/>
    </row>
    <row r="14" spans="3:23" ht="11.25">
      <c r="C14" s="176" t="s">
        <v>423</v>
      </c>
      <c r="D14" s="424">
        <f>+D10-D11-D12-D13</f>
        <v>347</v>
      </c>
      <c r="E14" s="176"/>
      <c r="F14" s="424">
        <f>+F10-F11-F12-F13</f>
        <v>426</v>
      </c>
      <c r="G14" s="218"/>
      <c r="H14" s="424">
        <f>+H10-H11-H12-H13</f>
        <v>337</v>
      </c>
      <c r="I14" s="77"/>
      <c r="J14" s="424">
        <f>+J10-J11-J12-J13</f>
        <v>261</v>
      </c>
      <c r="K14" s="77"/>
      <c r="L14" s="383">
        <f>+L10-L11-L12-L13</f>
        <v>-54</v>
      </c>
      <c r="M14" s="255"/>
      <c r="N14" s="424">
        <f>+N10-N11-N12-N13</f>
        <v>1371</v>
      </c>
      <c r="O14" s="255"/>
      <c r="P14" s="424">
        <f>+P10-P11-P12-P13</f>
        <v>48</v>
      </c>
      <c r="Q14" s="214"/>
      <c r="T14" s="424">
        <v>140</v>
      </c>
      <c r="U14" s="424">
        <v>4</v>
      </c>
      <c r="V14" s="8">
        <v>0.029411764705882353</v>
      </c>
      <c r="W14" s="9"/>
    </row>
    <row r="15" spans="3:21" ht="5.25" customHeight="1">
      <c r="C15" s="176"/>
      <c r="D15" s="384"/>
      <c r="E15" s="176"/>
      <c r="F15" s="384"/>
      <c r="G15" s="273"/>
      <c r="H15" s="384"/>
      <c r="I15" s="77"/>
      <c r="J15" s="384"/>
      <c r="K15" s="77"/>
      <c r="L15" s="379"/>
      <c r="M15" s="77"/>
      <c r="N15" s="384"/>
      <c r="O15" s="77"/>
      <c r="P15" s="384"/>
      <c r="Q15" s="213"/>
      <c r="R15" s="8"/>
      <c r="T15" s="384"/>
      <c r="U15" s="384"/>
    </row>
    <row r="16" spans="3:21" ht="11.25">
      <c r="C16" s="176" t="s">
        <v>326</v>
      </c>
      <c r="D16" s="229">
        <f>+'Segment  2006 Qtr'!O17</f>
        <v>25</v>
      </c>
      <c r="E16" s="176"/>
      <c r="F16" s="229">
        <v>25</v>
      </c>
      <c r="G16" s="206"/>
      <c r="H16" s="229">
        <v>20</v>
      </c>
      <c r="I16" s="77"/>
      <c r="J16" s="229">
        <v>20</v>
      </c>
      <c r="K16" s="77"/>
      <c r="L16" s="65">
        <v>17</v>
      </c>
      <c r="M16" s="77"/>
      <c r="N16" s="65">
        <f aca="true" t="shared" si="1" ref="N16:N22">+D16+F16+H16+J16</f>
        <v>90</v>
      </c>
      <c r="O16" s="77"/>
      <c r="P16" s="65">
        <v>62</v>
      </c>
      <c r="Q16" s="280"/>
      <c r="R16" s="8"/>
      <c r="T16" s="65">
        <v>45</v>
      </c>
      <c r="U16" s="65">
        <v>-4</v>
      </c>
    </row>
    <row r="17" spans="3:21" ht="11.25">
      <c r="C17" s="176" t="s">
        <v>9</v>
      </c>
      <c r="D17" s="229">
        <f>+'Segment  2006 Qtr'!Q19</f>
        <v>428</v>
      </c>
      <c r="E17" s="176"/>
      <c r="F17" s="229">
        <v>414</v>
      </c>
      <c r="G17" s="223"/>
      <c r="H17" s="229">
        <v>390</v>
      </c>
      <c r="I17" s="77"/>
      <c r="J17" s="229">
        <v>369</v>
      </c>
      <c r="K17" s="77"/>
      <c r="L17" s="65">
        <v>354</v>
      </c>
      <c r="M17" s="77"/>
      <c r="N17" s="65">
        <f t="shared" si="1"/>
        <v>1601</v>
      </c>
      <c r="O17" s="77"/>
      <c r="P17" s="65">
        <v>1264</v>
      </c>
      <c r="Q17" s="280"/>
      <c r="R17" s="8"/>
      <c r="T17" s="65">
        <v>910</v>
      </c>
      <c r="U17" s="65">
        <v>0</v>
      </c>
    </row>
    <row r="18" spans="3:21" ht="11.25" customHeight="1">
      <c r="C18" s="177" t="s">
        <v>173</v>
      </c>
      <c r="D18" s="229">
        <f>+'Segment  2006 Qtr'!Q26</f>
        <v>15</v>
      </c>
      <c r="E18" s="177"/>
      <c r="F18" s="229">
        <v>-113</v>
      </c>
      <c r="G18" s="206"/>
      <c r="H18" s="229">
        <v>-7</v>
      </c>
      <c r="I18" s="77"/>
      <c r="J18" s="229">
        <v>7</v>
      </c>
      <c r="K18" s="77"/>
      <c r="L18" s="65">
        <v>-25</v>
      </c>
      <c r="M18" s="77"/>
      <c r="N18" s="65">
        <f t="shared" si="1"/>
        <v>-98</v>
      </c>
      <c r="O18" s="77"/>
      <c r="P18" s="65">
        <v>76</v>
      </c>
      <c r="Q18" s="280"/>
      <c r="R18" s="8"/>
      <c r="T18" s="65">
        <v>101</v>
      </c>
      <c r="U18" s="65">
        <v>0</v>
      </c>
    </row>
    <row r="19" spans="3:21" ht="11.25">
      <c r="C19" s="176" t="s">
        <v>146</v>
      </c>
      <c r="D19" s="229">
        <f>+'Segment  2006 Qtr'!Q21</f>
        <v>42</v>
      </c>
      <c r="E19" s="176"/>
      <c r="F19" s="229">
        <v>46</v>
      </c>
      <c r="G19" s="223"/>
      <c r="H19" s="229">
        <v>45</v>
      </c>
      <c r="I19" s="77"/>
      <c r="J19" s="229">
        <v>43</v>
      </c>
      <c r="K19" s="77"/>
      <c r="L19" s="65">
        <v>46</v>
      </c>
      <c r="M19" s="77"/>
      <c r="N19" s="65">
        <f t="shared" si="1"/>
        <v>176</v>
      </c>
      <c r="O19" s="77"/>
      <c r="P19" s="65">
        <v>174</v>
      </c>
      <c r="Q19" s="280"/>
      <c r="R19" s="8"/>
      <c r="T19" s="65">
        <v>128</v>
      </c>
      <c r="U19" s="65">
        <v>0</v>
      </c>
    </row>
    <row r="20" spans="3:21" ht="11.25">
      <c r="C20" s="1" t="s">
        <v>265</v>
      </c>
      <c r="D20" s="229">
        <f>+'Segment  2006 Qtr'!Q22</f>
        <v>-16</v>
      </c>
      <c r="F20" s="229">
        <v>-2</v>
      </c>
      <c r="G20" s="223"/>
      <c r="H20" s="229">
        <v>-12</v>
      </c>
      <c r="I20" s="77"/>
      <c r="J20" s="229">
        <v>-5</v>
      </c>
      <c r="K20" s="77"/>
      <c r="L20" s="65">
        <v>6</v>
      </c>
      <c r="M20" s="77"/>
      <c r="N20" s="65">
        <f t="shared" si="1"/>
        <v>-35</v>
      </c>
      <c r="O20" s="77"/>
      <c r="P20" s="65">
        <v>-25</v>
      </c>
      <c r="Q20" s="280"/>
      <c r="R20" s="8"/>
      <c r="T20" s="65">
        <v>-36</v>
      </c>
      <c r="U20" s="65">
        <v>0</v>
      </c>
    </row>
    <row r="21" spans="3:21" ht="11.25">
      <c r="C21" s="176" t="s">
        <v>158</v>
      </c>
      <c r="D21" s="223">
        <f>+'Segment  2006 Qtr'!Q23</f>
        <v>124</v>
      </c>
      <c r="E21" s="185"/>
      <c r="F21" s="223">
        <v>130</v>
      </c>
      <c r="G21" s="223"/>
      <c r="H21" s="223">
        <v>134</v>
      </c>
      <c r="I21" s="77"/>
      <c r="J21" s="223">
        <v>134</v>
      </c>
      <c r="K21" s="77"/>
      <c r="L21" s="40">
        <v>4</v>
      </c>
      <c r="M21" s="77"/>
      <c r="N21" s="65">
        <f t="shared" si="1"/>
        <v>522</v>
      </c>
      <c r="O21" s="77"/>
      <c r="P21" s="405">
        <v>273</v>
      </c>
      <c r="Q21" s="280"/>
      <c r="R21" s="8"/>
      <c r="T21" s="405">
        <v>269</v>
      </c>
      <c r="U21" s="405">
        <v>0</v>
      </c>
    </row>
    <row r="22" spans="3:21" ht="11.25">
      <c r="C22" s="205" t="s">
        <v>379</v>
      </c>
      <c r="D22" s="408">
        <v>0</v>
      </c>
      <c r="E22" s="176"/>
      <c r="F22" s="408">
        <v>0</v>
      </c>
      <c r="G22" s="223"/>
      <c r="H22" s="408">
        <v>0</v>
      </c>
      <c r="I22" s="77"/>
      <c r="J22" s="408">
        <v>4</v>
      </c>
      <c r="K22" s="77"/>
      <c r="L22" s="234">
        <v>0</v>
      </c>
      <c r="M22" s="77"/>
      <c r="N22" s="234">
        <f t="shared" si="1"/>
        <v>4</v>
      </c>
      <c r="O22" s="77"/>
      <c r="P22" s="425">
        <v>0</v>
      </c>
      <c r="Q22" s="280"/>
      <c r="R22" s="8"/>
      <c r="T22" s="425">
        <v>0</v>
      </c>
      <c r="U22" s="425"/>
    </row>
    <row r="23" spans="3:21" ht="13.5" customHeight="1">
      <c r="C23" s="176" t="s">
        <v>459</v>
      </c>
      <c r="D23" s="218">
        <f>+D14+D16+D17-D20+D18-D19-D21+D22</f>
        <v>665</v>
      </c>
      <c r="E23" s="176"/>
      <c r="F23" s="218">
        <f>+F14+F16+F17-F20+F18-F19-F21+F22</f>
        <v>578</v>
      </c>
      <c r="G23" s="218"/>
      <c r="H23" s="218">
        <f>+H14+H16+H17-H20+H18-H19-H21+H22</f>
        <v>573</v>
      </c>
      <c r="I23" s="77"/>
      <c r="J23" s="218">
        <f>+J14+J16+J17-J20+J18-J19-J21+J22</f>
        <v>489</v>
      </c>
      <c r="K23" s="77"/>
      <c r="L23" s="218">
        <f>+L14+L16+L17-L20+L18-L19-L21+L22</f>
        <v>236</v>
      </c>
      <c r="M23" s="255"/>
      <c r="N23" s="218">
        <f>+N14+N16+N17-N20+N18-N19-N21+N22</f>
        <v>2305</v>
      </c>
      <c r="O23" s="255"/>
      <c r="P23" s="218">
        <f>+P14+P16+P17-P20+P18-P19-P21+P22</f>
        <v>1028</v>
      </c>
      <c r="Q23" s="214"/>
      <c r="R23" s="8"/>
      <c r="T23" s="218">
        <v>792</v>
      </c>
      <c r="U23" s="218">
        <v>0</v>
      </c>
    </row>
    <row r="24" spans="3:21" ht="6.75" customHeight="1">
      <c r="C24" s="176"/>
      <c r="D24" s="263"/>
      <c r="E24" s="176"/>
      <c r="F24" s="263"/>
      <c r="G24" s="218"/>
      <c r="H24" s="263"/>
      <c r="I24" s="77"/>
      <c r="J24" s="263"/>
      <c r="K24" s="77"/>
      <c r="L24" s="263"/>
      <c r="M24" s="218"/>
      <c r="N24" s="263"/>
      <c r="O24" s="218"/>
      <c r="P24" s="263"/>
      <c r="Q24" s="214"/>
      <c r="R24" s="8"/>
      <c r="T24" s="263"/>
      <c r="U24" s="263"/>
    </row>
    <row r="25" spans="3:21" ht="11.25" customHeight="1">
      <c r="C25" s="177" t="s">
        <v>173</v>
      </c>
      <c r="D25" s="229">
        <f>+'Segment  2006 Qtr'!Q26</f>
        <v>15</v>
      </c>
      <c r="E25" s="177"/>
      <c r="F25" s="229">
        <v>-113</v>
      </c>
      <c r="G25" s="206"/>
      <c r="H25" s="363">
        <v>-7</v>
      </c>
      <c r="I25" s="444"/>
      <c r="J25" s="363">
        <v>7</v>
      </c>
      <c r="K25" s="444"/>
      <c r="L25" s="363">
        <v>-25</v>
      </c>
      <c r="M25" s="444"/>
      <c r="N25" s="65">
        <f>+D25+F25+H25+J25</f>
        <v>-98</v>
      </c>
      <c r="O25" s="444"/>
      <c r="P25" s="65">
        <v>76</v>
      </c>
      <c r="Q25" s="280"/>
      <c r="R25" s="8"/>
      <c r="T25" s="65">
        <v>101</v>
      </c>
      <c r="U25" s="65">
        <v>0</v>
      </c>
    </row>
    <row r="26" spans="3:21" ht="11.25">
      <c r="C26" s="177" t="s">
        <v>266</v>
      </c>
      <c r="D26" s="223">
        <f>'Segment  2006 Qtr'!Q27</f>
        <v>-7</v>
      </c>
      <c r="E26" s="177"/>
      <c r="F26" s="223">
        <v>-39</v>
      </c>
      <c r="G26" s="206"/>
      <c r="H26" s="363">
        <v>-1</v>
      </c>
      <c r="I26" s="444"/>
      <c r="J26" s="363">
        <v>-1</v>
      </c>
      <c r="K26" s="444"/>
      <c r="L26" s="363">
        <v>-17</v>
      </c>
      <c r="M26" s="444"/>
      <c r="N26" s="65">
        <f>+D26+F26+H26+J26</f>
        <v>-48</v>
      </c>
      <c r="O26" s="444"/>
      <c r="P26" s="65">
        <v>3</v>
      </c>
      <c r="Q26" s="280"/>
      <c r="R26" s="8"/>
      <c r="T26" s="65">
        <v>20</v>
      </c>
      <c r="U26" s="65">
        <v>0</v>
      </c>
    </row>
    <row r="27" spans="3:21" ht="11.25">
      <c r="C27" s="205" t="s">
        <v>379</v>
      </c>
      <c r="D27" s="408">
        <v>0</v>
      </c>
      <c r="E27" s="177"/>
      <c r="F27" s="223">
        <v>0</v>
      </c>
      <c r="G27" s="206"/>
      <c r="H27" s="363">
        <v>0</v>
      </c>
      <c r="I27" s="444"/>
      <c r="J27" s="363">
        <v>4</v>
      </c>
      <c r="K27" s="444"/>
      <c r="L27" s="363">
        <v>0</v>
      </c>
      <c r="M27" s="444"/>
      <c r="N27" s="65">
        <f>+D27+F27+H27+J27</f>
        <v>4</v>
      </c>
      <c r="O27" s="444"/>
      <c r="P27" s="65">
        <v>0</v>
      </c>
      <c r="Q27" s="280"/>
      <c r="R27" s="8"/>
      <c r="T27" s="65">
        <v>0</v>
      </c>
      <c r="U27" s="65">
        <v>0</v>
      </c>
    </row>
    <row r="28" spans="3:21" ht="18" customHeight="1" thickBot="1">
      <c r="C28" s="532" t="s">
        <v>460</v>
      </c>
      <c r="D28" s="217">
        <f>+D23-D25+D26-D27</f>
        <v>643</v>
      </c>
      <c r="E28" s="176"/>
      <c r="F28" s="217">
        <f>+F23-F25+F26-F27</f>
        <v>652</v>
      </c>
      <c r="G28" s="218"/>
      <c r="H28" s="217">
        <f>+H23-H25+H26-H27</f>
        <v>579</v>
      </c>
      <c r="I28" s="77"/>
      <c r="J28" s="217">
        <f>+J23-J25+J26-J27</f>
        <v>477</v>
      </c>
      <c r="K28" s="77"/>
      <c r="L28" s="217">
        <f>+L23-L25+L26-L27</f>
        <v>244</v>
      </c>
      <c r="M28" s="255"/>
      <c r="N28" s="217">
        <f>+N23-N25+N26-N27</f>
        <v>2351</v>
      </c>
      <c r="O28" s="255"/>
      <c r="P28" s="217">
        <f>+P23-P25+P26-P27</f>
        <v>955</v>
      </c>
      <c r="Q28" s="214"/>
      <c r="R28" s="8"/>
      <c r="T28" s="217">
        <v>711</v>
      </c>
      <c r="U28" s="217">
        <v>0</v>
      </c>
    </row>
    <row r="29" spans="3:21" ht="7.5" customHeight="1" thickTop="1">
      <c r="C29" s="189"/>
      <c r="D29" s="189"/>
      <c r="E29" s="189"/>
      <c r="G29" s="214"/>
      <c r="H29" s="214"/>
      <c r="J29" s="214"/>
      <c r="L29" s="214"/>
      <c r="M29" s="214"/>
      <c r="N29" s="214"/>
      <c r="O29" s="214"/>
      <c r="P29" s="214"/>
      <c r="Q29" s="214"/>
      <c r="T29" s="214"/>
      <c r="U29" s="214"/>
    </row>
    <row r="30" spans="4:21" ht="6" customHeight="1">
      <c r="D30" s="573"/>
      <c r="E30" s="573"/>
      <c r="F30" s="573"/>
      <c r="G30" s="574"/>
      <c r="H30" s="573"/>
      <c r="I30" s="574"/>
      <c r="J30" s="573"/>
      <c r="K30" s="574"/>
      <c r="L30" s="573"/>
      <c r="M30" s="574"/>
      <c r="N30" s="573"/>
      <c r="O30" s="574"/>
      <c r="P30" s="573"/>
      <c r="Q30" s="172"/>
      <c r="R30" s="176"/>
      <c r="S30" s="176"/>
      <c r="T30" s="171"/>
      <c r="U30" s="171"/>
    </row>
    <row r="31" spans="3:21" ht="12.75" customHeight="1">
      <c r="C31" s="15" t="s">
        <v>363</v>
      </c>
      <c r="D31" s="575"/>
      <c r="E31" s="575"/>
      <c r="F31" s="573"/>
      <c r="G31" s="574"/>
      <c r="H31" s="573"/>
      <c r="I31" s="574"/>
      <c r="J31" s="573"/>
      <c r="K31" s="574"/>
      <c r="L31" s="573"/>
      <c r="M31" s="574"/>
      <c r="N31" s="573"/>
      <c r="O31" s="574"/>
      <c r="P31" s="573"/>
      <c r="Q31" s="208"/>
      <c r="R31" s="176"/>
      <c r="S31" s="176"/>
      <c r="T31" s="176"/>
      <c r="U31" s="176"/>
    </row>
    <row r="32" spans="3:21" ht="12.75">
      <c r="C32" s="1" t="s">
        <v>328</v>
      </c>
      <c r="D32" s="215">
        <f>(D9/L9)-1</f>
        <v>0.08785630613041784</v>
      </c>
      <c r="F32" s="559">
        <f>(+F9/'Consolidated Results 2'!D9)-1</f>
        <v>-0.03783592644978784</v>
      </c>
      <c r="G32" s="339"/>
      <c r="H32" s="215">
        <f>(+H9/'Consolidated Results 2'!F9)-1</f>
        <v>0.053001053001052956</v>
      </c>
      <c r="I32" s="77"/>
      <c r="J32" s="215">
        <f>(+J9/'Consolidated Results 2'!H9)-1</f>
        <v>-0.017241379310344862</v>
      </c>
      <c r="K32" s="77"/>
      <c r="L32" s="180">
        <v>-0.00890092879256966</v>
      </c>
      <c r="M32" s="77"/>
      <c r="N32" s="180">
        <f>(N9/P9)-1</f>
        <v>0.018364518364518467</v>
      </c>
      <c r="O32" s="77"/>
      <c r="P32" s="180">
        <f>+(P9/'Consolidated Results 2'!J9)-1</f>
        <v>0.02431233362910379</v>
      </c>
      <c r="Q32" s="215"/>
      <c r="R32"/>
      <c r="S32" s="176"/>
      <c r="T32" s="215"/>
      <c r="U32" s="215"/>
    </row>
    <row r="33" spans="3:21" ht="12.75">
      <c r="C33" s="1" t="s">
        <v>329</v>
      </c>
      <c r="D33" s="215">
        <f>(D10/L10)-1</f>
        <v>0.055873925501432664</v>
      </c>
      <c r="F33" s="215">
        <f>(+F10/'Consolidated Results 2'!D10)-1</f>
        <v>-0.0036303630363035966</v>
      </c>
      <c r="G33" s="339"/>
      <c r="H33" s="215">
        <f>(+H10/'Consolidated Results 2'!F10)-1</f>
        <v>-0.007340090877315575</v>
      </c>
      <c r="I33" s="77"/>
      <c r="J33" s="215">
        <f>(+J10/'Consolidated Results 2'!H10)-1</f>
        <v>-0.025914093006744743</v>
      </c>
      <c r="K33" s="77"/>
      <c r="L33" s="180">
        <v>-0.0113314447592068</v>
      </c>
      <c r="M33" s="77"/>
      <c r="N33" s="180">
        <f>(N10/P10)-1</f>
        <v>0.004434782608695675</v>
      </c>
      <c r="O33" s="77"/>
      <c r="P33" s="180">
        <f>+(P10/'Consolidated Results 2'!J10)-1</f>
        <v>0.05659683939728044</v>
      </c>
      <c r="Q33" s="215"/>
      <c r="R33"/>
      <c r="S33" s="183"/>
      <c r="T33" s="180"/>
      <c r="U33" s="180"/>
    </row>
    <row r="34" spans="7:21" ht="6" customHeight="1">
      <c r="G34" s="339"/>
      <c r="H34" s="215"/>
      <c r="J34" s="215"/>
      <c r="K34" s="339"/>
      <c r="L34" s="180"/>
      <c r="M34" s="343"/>
      <c r="N34" s="44"/>
      <c r="O34" s="343"/>
      <c r="P34" s="231"/>
      <c r="Q34" s="215"/>
      <c r="R34"/>
      <c r="S34" s="183"/>
      <c r="T34" s="231"/>
      <c r="U34" s="231"/>
    </row>
    <row r="35" spans="3:21" ht="12.75">
      <c r="C35" s="15" t="s">
        <v>16</v>
      </c>
      <c r="E35" s="15"/>
      <c r="G35" s="340"/>
      <c r="H35" s="183"/>
      <c r="J35" s="183"/>
      <c r="K35" s="340"/>
      <c r="L35" s="231"/>
      <c r="M35" s="342"/>
      <c r="N35" s="44"/>
      <c r="O35" s="342"/>
      <c r="P35" s="231"/>
      <c r="Q35" s="212"/>
      <c r="R35"/>
      <c r="S35" s="183"/>
      <c r="T35" s="183"/>
      <c r="U35" s="183"/>
    </row>
    <row r="36" spans="3:26" ht="11.25">
      <c r="C36" s="1" t="s">
        <v>58</v>
      </c>
      <c r="D36" s="245">
        <f>+'Consolidated Results'!D9/'Consolidated Results'!D8</f>
        <v>0.7085452695829094</v>
      </c>
      <c r="F36" s="245">
        <v>0.6435666982024598</v>
      </c>
      <c r="G36" s="245"/>
      <c r="H36" s="245">
        <v>0.6641576267434137</v>
      </c>
      <c r="J36" s="245">
        <v>0.7301123595505618</v>
      </c>
      <c r="L36" s="570">
        <v>0.6871478400858599</v>
      </c>
      <c r="M36" s="570"/>
      <c r="N36" s="570">
        <f>+'Consolidated Results'!N9/'Consolidated Results'!N8</f>
        <v>0.6864015881356922</v>
      </c>
      <c r="O36" s="570"/>
      <c r="P36" s="570">
        <v>0.6969751856547727</v>
      </c>
      <c r="Q36" s="245"/>
      <c r="R36" s="245"/>
      <c r="S36" s="245"/>
      <c r="T36" s="245"/>
      <c r="U36" s="245"/>
      <c r="X36" s="9"/>
      <c r="Z36" s="9"/>
    </row>
    <row r="37" spans="3:22" ht="22.5">
      <c r="C37" s="78" t="s">
        <v>380</v>
      </c>
      <c r="D37" s="180">
        <f>(+D21-D26)/(D28+(D21-D26))</f>
        <v>0.16925064599483206</v>
      </c>
      <c r="F37" s="180">
        <v>0.20584652862362973</v>
      </c>
      <c r="G37" s="339"/>
      <c r="H37" s="180">
        <v>0.18907563025210083</v>
      </c>
      <c r="J37" s="180">
        <v>0.22058823529411764</v>
      </c>
      <c r="L37" s="180">
        <v>0.07924528301886792</v>
      </c>
      <c r="M37" s="343"/>
      <c r="N37" s="180">
        <f>(+N21-N26)/(N28+(N21-N26))</f>
        <v>0.19513865114686751</v>
      </c>
      <c r="O37" s="343"/>
      <c r="P37" s="180">
        <f>(+P21-P26)/(P28+(P21-P26))</f>
        <v>0.22040816326530613</v>
      </c>
      <c r="Q37" s="180"/>
      <c r="R37" s="215"/>
      <c r="S37" s="215"/>
      <c r="T37" s="180"/>
      <c r="U37" s="180"/>
      <c r="V37" s="183"/>
    </row>
    <row r="38" spans="3:22" ht="5.25" customHeight="1">
      <c r="C38" s="78"/>
      <c r="D38" s="180"/>
      <c r="F38" s="180"/>
      <c r="G38" s="339"/>
      <c r="H38" s="180"/>
      <c r="J38" s="180"/>
      <c r="L38" s="180"/>
      <c r="M38" s="343"/>
      <c r="N38" s="180"/>
      <c r="O38" s="343"/>
      <c r="P38" s="180"/>
      <c r="Q38" s="180"/>
      <c r="R38" s="215"/>
      <c r="S38" s="215"/>
      <c r="T38" s="180"/>
      <c r="U38" s="180"/>
      <c r="V38" s="183"/>
    </row>
    <row r="39" spans="3:19" ht="11.25">
      <c r="C39" s="35" t="s">
        <v>351</v>
      </c>
      <c r="D39" s="385"/>
      <c r="E39" s="35"/>
      <c r="F39" s="385"/>
      <c r="G39" s="385"/>
      <c r="H39" s="456"/>
      <c r="I39" s="385"/>
      <c r="J39" s="456"/>
      <c r="K39" s="385"/>
      <c r="L39" s="456"/>
      <c r="M39" s="385"/>
      <c r="N39" s="44"/>
      <c r="O39" s="385"/>
      <c r="P39" s="44"/>
      <c r="Q39" s="183"/>
      <c r="R39" s="183"/>
      <c r="S39" s="183"/>
    </row>
    <row r="40" spans="3:19" ht="11.25">
      <c r="C40" s="44" t="s">
        <v>175</v>
      </c>
      <c r="D40" s="17">
        <f>+'Segment  2006 Qtr'!M54</f>
        <v>0.618</v>
      </c>
      <c r="E40" s="44"/>
      <c r="F40" s="17">
        <v>0.602</v>
      </c>
      <c r="G40" s="18"/>
      <c r="H40" s="17">
        <v>0.616</v>
      </c>
      <c r="I40" s="18"/>
      <c r="J40" s="17">
        <v>0.612</v>
      </c>
      <c r="K40" s="18"/>
      <c r="L40" s="17">
        <v>0.765</v>
      </c>
      <c r="M40" s="18"/>
      <c r="N40" s="17">
        <f>'Segment  2006 YTD'!M56</f>
        <v>0.612</v>
      </c>
      <c r="O40" s="18"/>
      <c r="P40" s="17">
        <v>0.745</v>
      </c>
      <c r="Q40" s="183"/>
      <c r="R40" s="183"/>
      <c r="S40" s="183"/>
    </row>
    <row r="41" spans="3:19" ht="11.25">
      <c r="C41" s="44" t="s">
        <v>176</v>
      </c>
      <c r="D41" s="17">
        <f>+'Segment  2006 Qtr'!M55</f>
        <v>0.144</v>
      </c>
      <c r="E41" s="44"/>
      <c r="F41" s="17">
        <v>0.142</v>
      </c>
      <c r="G41" s="18"/>
      <c r="H41" s="17">
        <v>0.149</v>
      </c>
      <c r="I41" s="18"/>
      <c r="J41" s="17">
        <v>0.151</v>
      </c>
      <c r="K41" s="18"/>
      <c r="L41" s="17">
        <v>0.149</v>
      </c>
      <c r="M41" s="18"/>
      <c r="N41" s="17">
        <f>'Segment  2006 YTD'!M57</f>
        <v>0.146</v>
      </c>
      <c r="O41" s="18"/>
      <c r="P41" s="17">
        <v>0.142</v>
      </c>
      <c r="Q41" s="183"/>
      <c r="R41" s="183"/>
      <c r="S41" s="183"/>
    </row>
    <row r="42" spans="3:19" ht="11.25">
      <c r="C42" s="44" t="s">
        <v>177</v>
      </c>
      <c r="D42" s="17">
        <f>+'Segment  2006 Qtr'!M56</f>
        <v>0.12</v>
      </c>
      <c r="E42" s="44"/>
      <c r="F42" s="17">
        <v>0.114</v>
      </c>
      <c r="G42" s="568"/>
      <c r="H42" s="17">
        <v>0.117</v>
      </c>
      <c r="I42" s="569"/>
      <c r="J42" s="17">
        <v>0.143</v>
      </c>
      <c r="K42" s="569"/>
      <c r="L42" s="17">
        <v>0.105</v>
      </c>
      <c r="M42" s="18"/>
      <c r="N42" s="17">
        <f>'Segment  2006 YTD'!M58</f>
        <v>0.123</v>
      </c>
      <c r="O42" s="18"/>
      <c r="P42" s="17">
        <v>0.108</v>
      </c>
      <c r="Q42" s="183"/>
      <c r="R42" s="183"/>
      <c r="S42" s="183"/>
    </row>
    <row r="43" spans="3:19" ht="12" thickBot="1">
      <c r="C43" s="369" t="s">
        <v>59</v>
      </c>
      <c r="D43" s="186">
        <f>SUM(D40:D42)</f>
        <v>0.882</v>
      </c>
      <c r="E43" s="369"/>
      <c r="F43" s="186">
        <f>SUM(F40:F42)</f>
        <v>0.858</v>
      </c>
      <c r="G43" s="344"/>
      <c r="H43" s="186">
        <f>SUM(H40:H42)</f>
        <v>0.882</v>
      </c>
      <c r="I43" s="344"/>
      <c r="J43" s="186">
        <f>SUM(J40:J42)</f>
        <v>0.906</v>
      </c>
      <c r="K43" s="344"/>
      <c r="L43" s="186">
        <f>SUM(L40:L42)</f>
        <v>1.0190000000000001</v>
      </c>
      <c r="M43" s="344"/>
      <c r="N43" s="186">
        <f>SUM(N40:N42)</f>
        <v>0.881</v>
      </c>
      <c r="O43" s="344"/>
      <c r="P43" s="186">
        <f>SUM(P40:P42)</f>
        <v>0.995</v>
      </c>
      <c r="Q43" s="183"/>
      <c r="R43" s="183"/>
      <c r="S43" s="183"/>
    </row>
    <row r="44" spans="3:19" ht="6.75" customHeight="1" thickTop="1">
      <c r="C44" s="35"/>
      <c r="D44" s="35"/>
      <c r="E44" s="35"/>
      <c r="F44" s="233"/>
      <c r="G44" s="233"/>
      <c r="H44" s="233"/>
      <c r="I44" s="233"/>
      <c r="J44" s="233"/>
      <c r="K44" s="233"/>
      <c r="L44" s="233"/>
      <c r="M44" s="233"/>
      <c r="N44" s="35"/>
      <c r="O44" s="233"/>
      <c r="P44" s="35"/>
      <c r="Q44" s="183"/>
      <c r="R44" s="183"/>
      <c r="S44" s="183"/>
    </row>
    <row r="45" spans="3:19" ht="12.75">
      <c r="C45" s="35" t="s">
        <v>352</v>
      </c>
      <c r="D45" s="15"/>
      <c r="E45" s="15"/>
      <c r="F45" s="398"/>
      <c r="G45" s="428"/>
      <c r="H45" s="398"/>
      <c r="I45" s="428"/>
      <c r="J45" s="398"/>
      <c r="K45" s="428"/>
      <c r="L45" s="398"/>
      <c r="M45" s="345"/>
      <c r="N45" s="44"/>
      <c r="O45" s="345"/>
      <c r="P45" s="44"/>
      <c r="Q45" s="183"/>
      <c r="R45" s="183"/>
      <c r="S45" s="183"/>
    </row>
    <row r="46" spans="3:19" ht="11.25">
      <c r="C46" s="1" t="s">
        <v>550</v>
      </c>
      <c r="D46" s="39">
        <v>0</v>
      </c>
      <c r="F46" s="39">
        <v>0</v>
      </c>
      <c r="G46" s="77"/>
      <c r="H46" s="39">
        <v>0</v>
      </c>
      <c r="I46" s="61"/>
      <c r="J46" s="39">
        <v>0</v>
      </c>
      <c r="K46" s="61"/>
      <c r="L46" s="39">
        <v>0</v>
      </c>
      <c r="M46" s="61"/>
      <c r="N46" s="39">
        <f>+SUM(D46:J46)</f>
        <v>0</v>
      </c>
      <c r="O46" s="61"/>
      <c r="P46" s="39">
        <v>0</v>
      </c>
      <c r="Q46" s="183"/>
      <c r="R46" s="183"/>
      <c r="S46" s="183"/>
    </row>
    <row r="47" spans="3:19" ht="11.25">
      <c r="C47" s="1" t="s">
        <v>327</v>
      </c>
      <c r="D47" s="39">
        <f>+'Insurance-North American '!D37+'Insurance-Overseas General '!D36+'Global Reinsurance '!D36</f>
        <v>6</v>
      </c>
      <c r="F47" s="39">
        <v>6</v>
      </c>
      <c r="G47" s="77"/>
      <c r="H47" s="39">
        <v>2</v>
      </c>
      <c r="I47" s="61"/>
      <c r="J47" s="39">
        <v>3</v>
      </c>
      <c r="K47" s="61"/>
      <c r="L47" s="39">
        <v>360</v>
      </c>
      <c r="M47" s="61"/>
      <c r="N47" s="39">
        <f>+SUM(D47:J47)</f>
        <v>17</v>
      </c>
      <c r="O47" s="61"/>
      <c r="P47" s="39">
        <v>1359</v>
      </c>
      <c r="Q47" s="183"/>
      <c r="R47" s="183"/>
      <c r="S47" s="183"/>
    </row>
    <row r="48" spans="3:19" ht="11.25">
      <c r="C48" s="44" t="s">
        <v>346</v>
      </c>
      <c r="D48" s="39">
        <f>+'Insurance-North American '!D38+'Insurance-Overseas General '!D37+'Global Reinsurance '!D37</f>
        <v>17</v>
      </c>
      <c r="F48" s="39">
        <v>17</v>
      </c>
      <c r="G48" s="77"/>
      <c r="H48" s="39">
        <v>-14</v>
      </c>
      <c r="I48" s="61"/>
      <c r="J48" s="39">
        <v>-32</v>
      </c>
      <c r="K48" s="61"/>
      <c r="L48" s="39">
        <v>8</v>
      </c>
      <c r="M48" s="61"/>
      <c r="N48" s="39">
        <f>+SUM(D48:J48)</f>
        <v>-12</v>
      </c>
      <c r="O48" s="61"/>
      <c r="P48" s="39">
        <v>86</v>
      </c>
      <c r="Q48" s="183"/>
      <c r="R48" s="183"/>
      <c r="S48" s="183"/>
    </row>
    <row r="49" spans="4:19" ht="6.75" customHeight="1">
      <c r="D49" s="183"/>
      <c r="E49" s="183"/>
      <c r="F49" s="183"/>
      <c r="G49" s="340"/>
      <c r="H49" s="183"/>
      <c r="I49" s="340"/>
      <c r="J49" s="183"/>
      <c r="K49" s="340"/>
      <c r="L49" s="183"/>
      <c r="M49" s="340"/>
      <c r="N49" s="340"/>
      <c r="O49" s="340"/>
      <c r="P49" s="340"/>
      <c r="Q49" s="183"/>
      <c r="R49" s="183"/>
      <c r="S49" s="183"/>
    </row>
    <row r="50" spans="3:19" ht="11.25">
      <c r="C50" s="275" t="s">
        <v>451</v>
      </c>
      <c r="D50" s="183"/>
      <c r="E50" s="183"/>
      <c r="F50" s="183"/>
      <c r="G50" s="340"/>
      <c r="H50" s="183"/>
      <c r="I50" s="340"/>
      <c r="J50" s="183"/>
      <c r="K50" s="340"/>
      <c r="L50" s="183"/>
      <c r="M50" s="340"/>
      <c r="N50" s="340"/>
      <c r="O50" s="340"/>
      <c r="P50" s="340"/>
      <c r="Q50" s="183"/>
      <c r="R50" s="183"/>
      <c r="S50" s="183"/>
    </row>
    <row r="51" spans="3:19" ht="11.25">
      <c r="C51" s="571" t="s">
        <v>543</v>
      </c>
      <c r="D51" s="183"/>
      <c r="E51" s="183"/>
      <c r="F51" s="183"/>
      <c r="G51" s="340"/>
      <c r="H51" s="183"/>
      <c r="I51" s="340"/>
      <c r="J51" s="183"/>
      <c r="K51" s="340"/>
      <c r="L51" s="183"/>
      <c r="M51" s="340"/>
      <c r="N51" s="340"/>
      <c r="O51" s="340"/>
      <c r="P51" s="340"/>
      <c r="Q51" s="183"/>
      <c r="R51" s="183"/>
      <c r="S51" s="183"/>
    </row>
    <row r="52" spans="3:19" ht="11.25">
      <c r="C52" s="275" t="s">
        <v>551</v>
      </c>
      <c r="D52" s="183"/>
      <c r="E52" s="183"/>
      <c r="F52" s="183"/>
      <c r="G52" s="340"/>
      <c r="H52" s="183"/>
      <c r="I52" s="340"/>
      <c r="J52" s="183"/>
      <c r="K52" s="340"/>
      <c r="L52" s="183"/>
      <c r="M52" s="340"/>
      <c r="N52" s="340"/>
      <c r="O52" s="340"/>
      <c r="P52" s="340"/>
      <c r="Q52" s="183"/>
      <c r="R52" s="183"/>
      <c r="S52" s="183"/>
    </row>
    <row r="53" spans="3:19" ht="11.25">
      <c r="C53" s="183"/>
      <c r="D53" s="183"/>
      <c r="E53" s="183"/>
      <c r="F53" s="183"/>
      <c r="G53" s="340"/>
      <c r="H53" s="183"/>
      <c r="I53" s="340"/>
      <c r="J53" s="183"/>
      <c r="K53" s="340"/>
      <c r="L53" s="183"/>
      <c r="M53" s="340"/>
      <c r="N53" s="340"/>
      <c r="O53" s="340"/>
      <c r="P53" s="340"/>
      <c r="Q53" s="183"/>
      <c r="R53" s="183"/>
      <c r="S53" s="183"/>
    </row>
    <row r="54" spans="3:19" ht="11.25">
      <c r="C54" s="183"/>
      <c r="D54" s="183"/>
      <c r="E54" s="183"/>
      <c r="F54" s="183"/>
      <c r="G54" s="340"/>
      <c r="H54" s="183"/>
      <c r="I54" s="340"/>
      <c r="J54" s="183"/>
      <c r="K54" s="340"/>
      <c r="L54" s="183"/>
      <c r="M54" s="340"/>
      <c r="N54" s="340"/>
      <c r="O54" s="340"/>
      <c r="P54" s="340"/>
      <c r="Q54" s="183"/>
      <c r="R54" s="183"/>
      <c r="S54" s="183"/>
    </row>
    <row r="55" spans="3:19" ht="11.25">
      <c r="C55" s="183"/>
      <c r="D55" s="183"/>
      <c r="E55" s="183"/>
      <c r="F55" s="183"/>
      <c r="G55" s="340"/>
      <c r="H55" s="183"/>
      <c r="I55" s="340"/>
      <c r="J55" s="183"/>
      <c r="K55" s="340"/>
      <c r="L55" s="183"/>
      <c r="M55" s="340"/>
      <c r="N55" s="340"/>
      <c r="O55" s="340"/>
      <c r="P55" s="340"/>
      <c r="Q55" s="183"/>
      <c r="R55" s="183"/>
      <c r="S55" s="183"/>
    </row>
    <row r="56" spans="3:19" ht="11.25">
      <c r="C56" s="183"/>
      <c r="D56" s="183"/>
      <c r="E56" s="183"/>
      <c r="F56" s="183"/>
      <c r="G56" s="340"/>
      <c r="H56" s="183"/>
      <c r="I56" s="340"/>
      <c r="J56" s="183"/>
      <c r="K56" s="340"/>
      <c r="L56" s="183"/>
      <c r="M56" s="340"/>
      <c r="N56" s="340"/>
      <c r="O56" s="340"/>
      <c r="P56" s="340"/>
      <c r="Q56" s="183"/>
      <c r="R56" s="183"/>
      <c r="S56" s="183"/>
    </row>
    <row r="57" spans="3:19" ht="11.25">
      <c r="C57" s="183"/>
      <c r="D57" s="183"/>
      <c r="E57" s="183"/>
      <c r="F57" s="183"/>
      <c r="G57" s="340"/>
      <c r="H57" s="183"/>
      <c r="I57" s="340"/>
      <c r="J57" s="183"/>
      <c r="K57" s="340"/>
      <c r="L57" s="183"/>
      <c r="M57" s="340"/>
      <c r="N57" s="340"/>
      <c r="O57" s="340"/>
      <c r="P57" s="340"/>
      <c r="Q57" s="183"/>
      <c r="R57" s="183"/>
      <c r="S57" s="183"/>
    </row>
    <row r="58" spans="3:19" ht="11.25">
      <c r="C58" s="183"/>
      <c r="D58" s="183"/>
      <c r="E58" s="183"/>
      <c r="F58" s="183"/>
      <c r="G58" s="340"/>
      <c r="H58" s="183"/>
      <c r="I58" s="340"/>
      <c r="J58" s="183"/>
      <c r="K58" s="340"/>
      <c r="L58" s="183"/>
      <c r="M58" s="340"/>
      <c r="N58" s="340"/>
      <c r="O58" s="340"/>
      <c r="P58" s="340"/>
      <c r="Q58" s="183"/>
      <c r="R58" s="183"/>
      <c r="S58" s="183"/>
    </row>
    <row r="59" spans="3:19" ht="11.25">
      <c r="C59" s="183"/>
      <c r="D59" s="183"/>
      <c r="E59" s="183"/>
      <c r="F59" s="183"/>
      <c r="G59" s="340"/>
      <c r="H59" s="183"/>
      <c r="I59" s="340"/>
      <c r="J59" s="183"/>
      <c r="K59" s="340"/>
      <c r="L59" s="183"/>
      <c r="M59" s="340"/>
      <c r="N59" s="340"/>
      <c r="O59" s="340"/>
      <c r="P59" s="340"/>
      <c r="Q59" s="183"/>
      <c r="R59" s="183"/>
      <c r="S59" s="183"/>
    </row>
    <row r="60" spans="3:19" ht="11.25">
      <c r="C60" s="183"/>
      <c r="D60" s="183"/>
      <c r="E60" s="183"/>
      <c r="F60" s="183"/>
      <c r="G60" s="340"/>
      <c r="H60" s="183"/>
      <c r="I60" s="340"/>
      <c r="J60" s="183"/>
      <c r="K60" s="340"/>
      <c r="L60" s="183"/>
      <c r="M60" s="340"/>
      <c r="N60" s="340"/>
      <c r="O60" s="340"/>
      <c r="P60" s="340"/>
      <c r="Q60" s="183"/>
      <c r="R60" s="183"/>
      <c r="S60" s="183"/>
    </row>
    <row r="61" spans="3:19" ht="11.25">
      <c r="C61" s="183"/>
      <c r="D61" s="183"/>
      <c r="E61" s="183"/>
      <c r="F61" s="183"/>
      <c r="G61" s="340"/>
      <c r="H61" s="183"/>
      <c r="I61" s="340"/>
      <c r="J61" s="183"/>
      <c r="K61" s="340"/>
      <c r="L61" s="183"/>
      <c r="M61" s="340"/>
      <c r="N61" s="340"/>
      <c r="O61" s="340"/>
      <c r="P61" s="340"/>
      <c r="Q61" s="183"/>
      <c r="R61" s="183"/>
      <c r="S61" s="183"/>
    </row>
    <row r="62" spans="3:19" ht="11.25">
      <c r="C62" s="183"/>
      <c r="D62" s="183"/>
      <c r="E62" s="183"/>
      <c r="F62" s="183"/>
      <c r="G62" s="340"/>
      <c r="H62" s="183"/>
      <c r="I62" s="340"/>
      <c r="J62" s="183"/>
      <c r="K62" s="340"/>
      <c r="L62" s="183"/>
      <c r="M62" s="340"/>
      <c r="N62" s="340"/>
      <c r="O62" s="340"/>
      <c r="P62" s="340"/>
      <c r="Q62" s="183"/>
      <c r="R62" s="183"/>
      <c r="S62" s="183"/>
    </row>
    <row r="63" spans="3:19" ht="11.25">
      <c r="C63" s="183"/>
      <c r="D63" s="183"/>
      <c r="E63" s="183"/>
      <c r="F63" s="183"/>
      <c r="G63" s="340"/>
      <c r="H63" s="183"/>
      <c r="I63" s="340"/>
      <c r="J63" s="183"/>
      <c r="K63" s="340"/>
      <c r="L63" s="183"/>
      <c r="M63" s="340"/>
      <c r="N63" s="340"/>
      <c r="O63" s="340"/>
      <c r="P63" s="340"/>
      <c r="Q63" s="183"/>
      <c r="R63" s="183"/>
      <c r="S63" s="183"/>
    </row>
    <row r="64" spans="3:19" ht="11.25">
      <c r="C64" s="183"/>
      <c r="D64" s="183"/>
      <c r="E64" s="183"/>
      <c r="F64" s="183"/>
      <c r="G64" s="340"/>
      <c r="H64" s="183"/>
      <c r="I64" s="340"/>
      <c r="J64" s="183"/>
      <c r="K64" s="340"/>
      <c r="L64" s="183"/>
      <c r="M64" s="340"/>
      <c r="N64" s="340"/>
      <c r="O64" s="340"/>
      <c r="P64" s="340"/>
      <c r="Q64" s="183"/>
      <c r="R64" s="183"/>
      <c r="S64" s="183"/>
    </row>
    <row r="65" spans="3:19" ht="11.25">
      <c r="C65" s="183"/>
      <c r="D65" s="183"/>
      <c r="E65" s="183"/>
      <c r="F65" s="183"/>
      <c r="G65" s="340"/>
      <c r="H65" s="183"/>
      <c r="I65" s="340"/>
      <c r="J65" s="183"/>
      <c r="K65" s="340"/>
      <c r="L65" s="183"/>
      <c r="M65" s="340"/>
      <c r="N65" s="340"/>
      <c r="O65" s="340"/>
      <c r="P65" s="340"/>
      <c r="Q65" s="183"/>
      <c r="R65" s="183"/>
      <c r="S65" s="183"/>
    </row>
    <row r="66" spans="3:19" ht="11.25">
      <c r="C66" s="183"/>
      <c r="D66" s="183"/>
      <c r="E66" s="183"/>
      <c r="F66" s="183"/>
      <c r="G66" s="340"/>
      <c r="H66" s="183"/>
      <c r="I66" s="340"/>
      <c r="J66" s="183"/>
      <c r="K66" s="340"/>
      <c r="L66" s="183"/>
      <c r="M66" s="340"/>
      <c r="N66" s="340"/>
      <c r="O66" s="340"/>
      <c r="P66" s="340"/>
      <c r="Q66" s="183"/>
      <c r="R66" s="183"/>
      <c r="S66" s="183"/>
    </row>
    <row r="67" spans="3:19" ht="11.25">
      <c r="C67" s="183"/>
      <c r="D67" s="183"/>
      <c r="E67" s="183"/>
      <c r="F67" s="183"/>
      <c r="G67" s="340"/>
      <c r="H67" s="183"/>
      <c r="I67" s="340"/>
      <c r="J67" s="183"/>
      <c r="K67" s="340"/>
      <c r="L67" s="183"/>
      <c r="M67" s="340"/>
      <c r="N67" s="340"/>
      <c r="O67" s="340"/>
      <c r="P67" s="340"/>
      <c r="Q67" s="183"/>
      <c r="R67" s="183"/>
      <c r="S67" s="183"/>
    </row>
    <row r="68" spans="3:19" ht="11.25">
      <c r="C68" s="183"/>
      <c r="D68" s="183"/>
      <c r="E68" s="183"/>
      <c r="F68" s="183"/>
      <c r="G68" s="340"/>
      <c r="H68" s="183"/>
      <c r="I68" s="340"/>
      <c r="J68" s="183"/>
      <c r="K68" s="340"/>
      <c r="L68" s="183"/>
      <c r="M68" s="340"/>
      <c r="N68" s="340"/>
      <c r="O68" s="340"/>
      <c r="P68" s="340"/>
      <c r="Q68" s="183"/>
      <c r="R68" s="183"/>
      <c r="S68" s="183"/>
    </row>
    <row r="69" spans="3:19" ht="11.25">
      <c r="C69" s="183"/>
      <c r="D69" s="183"/>
      <c r="E69" s="183"/>
      <c r="F69" s="183"/>
      <c r="G69" s="340"/>
      <c r="H69" s="183"/>
      <c r="I69" s="340"/>
      <c r="J69" s="183"/>
      <c r="K69" s="340"/>
      <c r="L69" s="183"/>
      <c r="M69" s="340"/>
      <c r="N69" s="340"/>
      <c r="O69" s="340"/>
      <c r="P69" s="340"/>
      <c r="Q69" s="183"/>
      <c r="R69" s="183"/>
      <c r="S69" s="183"/>
    </row>
    <row r="70" spans="3:19" ht="11.25">
      <c r="C70" s="183"/>
      <c r="D70" s="183"/>
      <c r="E70" s="183"/>
      <c r="F70" s="183"/>
      <c r="G70" s="340"/>
      <c r="H70" s="183"/>
      <c r="I70" s="340"/>
      <c r="J70" s="183"/>
      <c r="K70" s="340"/>
      <c r="L70" s="183"/>
      <c r="M70" s="340"/>
      <c r="N70" s="340"/>
      <c r="O70" s="340"/>
      <c r="P70" s="340"/>
      <c r="Q70" s="183"/>
      <c r="R70" s="183"/>
      <c r="S70" s="183"/>
    </row>
    <row r="71" spans="3:19" ht="11.25">
      <c r="C71" s="183"/>
      <c r="D71" s="183"/>
      <c r="E71" s="183"/>
      <c r="F71" s="183"/>
      <c r="G71" s="340"/>
      <c r="H71" s="183"/>
      <c r="I71" s="340"/>
      <c r="J71" s="183"/>
      <c r="K71" s="340"/>
      <c r="L71" s="183"/>
      <c r="M71" s="340"/>
      <c r="N71" s="340"/>
      <c r="O71" s="340"/>
      <c r="P71" s="340"/>
      <c r="Q71" s="183"/>
      <c r="R71" s="183"/>
      <c r="S71" s="183"/>
    </row>
    <row r="72" spans="3:19" ht="11.25">
      <c r="C72" s="183"/>
      <c r="D72" s="183"/>
      <c r="E72" s="183"/>
      <c r="F72" s="183"/>
      <c r="G72" s="340"/>
      <c r="H72" s="183"/>
      <c r="I72" s="340"/>
      <c r="J72" s="183"/>
      <c r="K72" s="340"/>
      <c r="L72" s="183"/>
      <c r="M72" s="340"/>
      <c r="N72" s="340"/>
      <c r="O72" s="340"/>
      <c r="P72" s="340"/>
      <c r="Q72" s="183"/>
      <c r="R72" s="183"/>
      <c r="S72" s="183"/>
    </row>
    <row r="73" spans="3:19" ht="11.25">
      <c r="C73" s="183"/>
      <c r="D73" s="183"/>
      <c r="E73" s="183"/>
      <c r="F73" s="183"/>
      <c r="G73" s="340"/>
      <c r="H73" s="183"/>
      <c r="I73" s="340"/>
      <c r="J73" s="183"/>
      <c r="K73" s="340"/>
      <c r="L73" s="183"/>
      <c r="M73" s="340"/>
      <c r="N73" s="340"/>
      <c r="O73" s="340"/>
      <c r="P73" s="340"/>
      <c r="Q73" s="183"/>
      <c r="R73" s="183"/>
      <c r="S73" s="183"/>
    </row>
    <row r="74" spans="3:19" ht="11.25">
      <c r="C74" s="183"/>
      <c r="D74" s="183"/>
      <c r="E74" s="183"/>
      <c r="F74" s="183"/>
      <c r="G74" s="340"/>
      <c r="H74" s="183"/>
      <c r="I74" s="340"/>
      <c r="J74" s="183"/>
      <c r="K74" s="340"/>
      <c r="L74" s="183"/>
      <c r="M74" s="340"/>
      <c r="N74" s="340"/>
      <c r="O74" s="340"/>
      <c r="P74" s="340"/>
      <c r="Q74" s="183"/>
      <c r="R74" s="183"/>
      <c r="S74" s="183"/>
    </row>
    <row r="75" spans="3:19" ht="11.25">
      <c r="C75" s="183"/>
      <c r="D75" s="183"/>
      <c r="E75" s="183"/>
      <c r="F75" s="183"/>
      <c r="G75" s="340"/>
      <c r="H75" s="183"/>
      <c r="I75" s="340"/>
      <c r="J75" s="183"/>
      <c r="K75" s="340"/>
      <c r="L75" s="183"/>
      <c r="M75" s="340"/>
      <c r="N75" s="340"/>
      <c r="O75" s="340"/>
      <c r="P75" s="340"/>
      <c r="Q75" s="183"/>
      <c r="R75" s="183"/>
      <c r="S75" s="183"/>
    </row>
    <row r="76" spans="3:19" ht="11.25">
      <c r="C76" s="183"/>
      <c r="D76" s="183"/>
      <c r="E76" s="183"/>
      <c r="F76" s="183"/>
      <c r="G76" s="340"/>
      <c r="H76" s="183"/>
      <c r="I76" s="340"/>
      <c r="J76" s="183"/>
      <c r="K76" s="340"/>
      <c r="L76" s="183"/>
      <c r="M76" s="340"/>
      <c r="N76" s="340"/>
      <c r="O76" s="340"/>
      <c r="P76" s="340"/>
      <c r="Q76" s="183"/>
      <c r="R76" s="183"/>
      <c r="S76" s="183"/>
    </row>
    <row r="77" spans="3:19" ht="11.25">
      <c r="C77" s="183"/>
      <c r="D77" s="183"/>
      <c r="E77" s="183"/>
      <c r="F77" s="183"/>
      <c r="G77" s="340"/>
      <c r="H77" s="183"/>
      <c r="I77" s="340"/>
      <c r="J77" s="183"/>
      <c r="K77" s="340"/>
      <c r="L77" s="183"/>
      <c r="M77" s="340"/>
      <c r="N77" s="340"/>
      <c r="O77" s="340"/>
      <c r="P77" s="340"/>
      <c r="Q77" s="183"/>
      <c r="R77" s="183"/>
      <c r="S77" s="183"/>
    </row>
    <row r="78" spans="3:19" ht="11.25">
      <c r="C78" s="183"/>
      <c r="D78" s="183"/>
      <c r="E78" s="183"/>
      <c r="F78" s="183"/>
      <c r="G78" s="340"/>
      <c r="H78" s="183"/>
      <c r="I78" s="340"/>
      <c r="J78" s="183"/>
      <c r="K78" s="340"/>
      <c r="L78" s="183"/>
      <c r="M78" s="340"/>
      <c r="N78" s="340"/>
      <c r="O78" s="340"/>
      <c r="P78" s="340"/>
      <c r="Q78" s="183"/>
      <c r="R78" s="183"/>
      <c r="S78" s="183"/>
    </row>
    <row r="79" spans="3:19" ht="11.25">
      <c r="C79" s="183"/>
      <c r="D79" s="183"/>
      <c r="E79" s="183"/>
      <c r="F79" s="183"/>
      <c r="G79" s="340"/>
      <c r="H79" s="183"/>
      <c r="I79" s="340"/>
      <c r="J79" s="183"/>
      <c r="K79" s="340"/>
      <c r="L79" s="183"/>
      <c r="M79" s="340"/>
      <c r="N79" s="340"/>
      <c r="O79" s="340"/>
      <c r="P79" s="340"/>
      <c r="Q79" s="183"/>
      <c r="R79" s="183"/>
      <c r="S79" s="183"/>
    </row>
    <row r="80" spans="3:19" ht="11.25">
      <c r="C80" s="183"/>
      <c r="D80" s="183"/>
      <c r="E80" s="183"/>
      <c r="F80" s="183"/>
      <c r="G80" s="340"/>
      <c r="H80" s="183"/>
      <c r="I80" s="340"/>
      <c r="J80" s="183"/>
      <c r="K80" s="340"/>
      <c r="L80" s="183"/>
      <c r="M80" s="340"/>
      <c r="N80" s="340"/>
      <c r="O80" s="340"/>
      <c r="P80" s="340"/>
      <c r="Q80" s="183"/>
      <c r="R80" s="183"/>
      <c r="S80" s="183"/>
    </row>
    <row r="81" spans="3:19" ht="11.25">
      <c r="C81" s="183"/>
      <c r="D81" s="183"/>
      <c r="E81" s="183"/>
      <c r="F81" s="183"/>
      <c r="G81" s="340"/>
      <c r="H81" s="183"/>
      <c r="I81" s="340"/>
      <c r="J81" s="183"/>
      <c r="K81" s="340"/>
      <c r="L81" s="183"/>
      <c r="M81" s="340"/>
      <c r="N81" s="340"/>
      <c r="O81" s="340"/>
      <c r="P81" s="340"/>
      <c r="Q81" s="183"/>
      <c r="R81" s="183"/>
      <c r="S81" s="183"/>
    </row>
    <row r="82" spans="3:19" ht="11.25">
      <c r="C82" s="183"/>
      <c r="D82" s="183"/>
      <c r="E82" s="183"/>
      <c r="F82" s="183"/>
      <c r="G82" s="340"/>
      <c r="H82" s="183"/>
      <c r="I82" s="340"/>
      <c r="J82" s="183"/>
      <c r="K82" s="340"/>
      <c r="L82" s="183"/>
      <c r="M82" s="340"/>
      <c r="N82" s="340"/>
      <c r="O82" s="340"/>
      <c r="P82" s="340"/>
      <c r="Q82" s="183"/>
      <c r="R82" s="183"/>
      <c r="S82" s="183"/>
    </row>
    <row r="83" spans="3:19" ht="11.25">
      <c r="C83" s="183"/>
      <c r="D83" s="183"/>
      <c r="E83" s="183"/>
      <c r="F83" s="183"/>
      <c r="G83" s="340"/>
      <c r="H83" s="183"/>
      <c r="I83" s="340"/>
      <c r="J83" s="183"/>
      <c r="K83" s="340"/>
      <c r="L83" s="183"/>
      <c r="M83" s="340"/>
      <c r="N83" s="340"/>
      <c r="O83" s="340"/>
      <c r="P83" s="340"/>
      <c r="Q83" s="183"/>
      <c r="R83" s="183"/>
      <c r="S83" s="183"/>
    </row>
    <row r="84" spans="3:19" ht="11.25">
      <c r="C84" s="183"/>
      <c r="D84" s="183"/>
      <c r="E84" s="183"/>
      <c r="F84" s="183"/>
      <c r="G84" s="340"/>
      <c r="H84" s="183"/>
      <c r="I84" s="340"/>
      <c r="J84" s="183"/>
      <c r="K84" s="340"/>
      <c r="L84" s="183"/>
      <c r="M84" s="340"/>
      <c r="N84" s="340"/>
      <c r="O84" s="340"/>
      <c r="P84" s="340"/>
      <c r="Q84" s="183"/>
      <c r="R84" s="183"/>
      <c r="S84" s="183"/>
    </row>
    <row r="85" spans="3:19" ht="11.25">
      <c r="C85" s="183"/>
      <c r="D85" s="183"/>
      <c r="E85" s="183"/>
      <c r="F85" s="183"/>
      <c r="G85" s="340"/>
      <c r="H85" s="183"/>
      <c r="I85" s="340"/>
      <c r="J85" s="183"/>
      <c r="K85" s="340"/>
      <c r="L85" s="183"/>
      <c r="M85" s="340"/>
      <c r="N85" s="340"/>
      <c r="O85" s="340"/>
      <c r="P85" s="340"/>
      <c r="Q85" s="183"/>
      <c r="R85" s="183"/>
      <c r="S85" s="183"/>
    </row>
    <row r="86" spans="3:19" ht="11.25">
      <c r="C86" s="183"/>
      <c r="D86" s="183"/>
      <c r="E86" s="183"/>
      <c r="F86" s="183"/>
      <c r="G86" s="340"/>
      <c r="H86" s="183"/>
      <c r="I86" s="340"/>
      <c r="J86" s="183"/>
      <c r="K86" s="340"/>
      <c r="L86" s="183"/>
      <c r="M86" s="340"/>
      <c r="N86" s="340"/>
      <c r="O86" s="340"/>
      <c r="P86" s="340"/>
      <c r="Q86" s="183"/>
      <c r="R86" s="183"/>
      <c r="S86" s="183"/>
    </row>
    <row r="87" spans="3:19" ht="11.25">
      <c r="C87" s="183"/>
      <c r="D87" s="183"/>
      <c r="E87" s="183"/>
      <c r="F87" s="183"/>
      <c r="G87" s="340"/>
      <c r="H87" s="183"/>
      <c r="I87" s="340"/>
      <c r="J87" s="183"/>
      <c r="K87" s="340"/>
      <c r="L87" s="183"/>
      <c r="M87" s="340"/>
      <c r="N87" s="340"/>
      <c r="O87" s="340"/>
      <c r="P87" s="340"/>
      <c r="Q87" s="183"/>
      <c r="R87" s="183"/>
      <c r="S87" s="183"/>
    </row>
    <row r="88" spans="3:19" ht="11.25">
      <c r="C88" s="183"/>
      <c r="D88" s="183"/>
      <c r="E88" s="183"/>
      <c r="F88" s="183"/>
      <c r="G88" s="340"/>
      <c r="H88" s="183"/>
      <c r="I88" s="340"/>
      <c r="J88" s="183"/>
      <c r="K88" s="340"/>
      <c r="L88" s="183"/>
      <c r="M88" s="340"/>
      <c r="N88" s="340"/>
      <c r="O88" s="340"/>
      <c r="P88" s="340"/>
      <c r="Q88" s="183"/>
      <c r="R88" s="183"/>
      <c r="S88" s="183"/>
    </row>
    <row r="89" spans="3:19" ht="11.25">
      <c r="C89" s="183"/>
      <c r="D89" s="183"/>
      <c r="E89" s="183"/>
      <c r="F89" s="183"/>
      <c r="G89" s="340"/>
      <c r="H89" s="183"/>
      <c r="I89" s="340"/>
      <c r="J89" s="183"/>
      <c r="K89" s="340"/>
      <c r="L89" s="183"/>
      <c r="M89" s="340"/>
      <c r="N89" s="340"/>
      <c r="O89" s="340"/>
      <c r="P89" s="340"/>
      <c r="Q89" s="183"/>
      <c r="R89" s="183"/>
      <c r="S89" s="183"/>
    </row>
    <row r="90" spans="3:19" ht="11.25">
      <c r="C90" s="183"/>
      <c r="D90" s="183"/>
      <c r="E90" s="183"/>
      <c r="F90" s="183"/>
      <c r="G90" s="340"/>
      <c r="H90" s="183"/>
      <c r="I90" s="340"/>
      <c r="J90" s="183"/>
      <c r="K90" s="340"/>
      <c r="L90" s="183"/>
      <c r="M90" s="340"/>
      <c r="N90" s="340"/>
      <c r="O90" s="340"/>
      <c r="P90" s="340"/>
      <c r="Q90" s="183"/>
      <c r="R90" s="183"/>
      <c r="S90" s="183"/>
    </row>
    <row r="91" spans="3:19" ht="11.25">
      <c r="C91" s="183"/>
      <c r="D91" s="183"/>
      <c r="E91" s="183"/>
      <c r="F91" s="183"/>
      <c r="G91" s="340"/>
      <c r="H91" s="183"/>
      <c r="I91" s="340"/>
      <c r="J91" s="183"/>
      <c r="K91" s="340"/>
      <c r="L91" s="183"/>
      <c r="M91" s="340"/>
      <c r="N91" s="340"/>
      <c r="O91" s="340"/>
      <c r="P91" s="340"/>
      <c r="Q91" s="183"/>
      <c r="R91" s="183"/>
      <c r="S91" s="183"/>
    </row>
    <row r="92" spans="3:19" ht="11.25">
      <c r="C92" s="183"/>
      <c r="D92" s="183"/>
      <c r="E92" s="183"/>
      <c r="F92" s="183"/>
      <c r="G92" s="340"/>
      <c r="H92" s="183"/>
      <c r="I92" s="340"/>
      <c r="J92" s="183"/>
      <c r="K92" s="340"/>
      <c r="L92" s="183"/>
      <c r="M92" s="340"/>
      <c r="N92" s="340"/>
      <c r="O92" s="340"/>
      <c r="P92" s="340"/>
      <c r="Q92" s="183"/>
      <c r="R92" s="183"/>
      <c r="S92" s="183"/>
    </row>
    <row r="93" spans="3:19" ht="11.25">
      <c r="C93" s="183"/>
      <c r="D93" s="183"/>
      <c r="E93" s="183"/>
      <c r="F93" s="183"/>
      <c r="G93" s="340"/>
      <c r="H93" s="183"/>
      <c r="I93" s="340"/>
      <c r="J93" s="183"/>
      <c r="K93" s="340"/>
      <c r="L93" s="183"/>
      <c r="M93" s="340"/>
      <c r="N93" s="340"/>
      <c r="O93" s="340"/>
      <c r="P93" s="340"/>
      <c r="Q93" s="183"/>
      <c r="R93" s="183"/>
      <c r="S93" s="183"/>
    </row>
    <row r="94" spans="3:19" ht="11.25">
      <c r="C94" s="183"/>
      <c r="D94" s="183"/>
      <c r="E94" s="183"/>
      <c r="F94" s="183"/>
      <c r="G94" s="340"/>
      <c r="H94" s="183"/>
      <c r="I94" s="340"/>
      <c r="J94" s="183"/>
      <c r="K94" s="340"/>
      <c r="L94" s="183"/>
      <c r="M94" s="340"/>
      <c r="N94" s="340"/>
      <c r="O94" s="340"/>
      <c r="P94" s="340"/>
      <c r="Q94" s="183"/>
      <c r="R94" s="183"/>
      <c r="S94" s="183"/>
    </row>
    <row r="95" spans="3:19" ht="11.25">
      <c r="C95" s="183"/>
      <c r="D95" s="183"/>
      <c r="E95" s="183"/>
      <c r="F95" s="183"/>
      <c r="G95" s="340"/>
      <c r="H95" s="183"/>
      <c r="I95" s="340"/>
      <c r="J95" s="183"/>
      <c r="K95" s="340"/>
      <c r="L95" s="183"/>
      <c r="M95" s="340"/>
      <c r="N95" s="340"/>
      <c r="O95" s="340"/>
      <c r="P95" s="340"/>
      <c r="Q95" s="183"/>
      <c r="R95" s="183"/>
      <c r="S95" s="183"/>
    </row>
    <row r="96" spans="3:19" ht="11.25">
      <c r="C96" s="183"/>
      <c r="D96" s="183"/>
      <c r="E96" s="183"/>
      <c r="F96" s="183"/>
      <c r="G96" s="340"/>
      <c r="H96" s="183"/>
      <c r="I96" s="340"/>
      <c r="J96" s="183"/>
      <c r="K96" s="340"/>
      <c r="L96" s="183"/>
      <c r="M96" s="340"/>
      <c r="N96" s="340"/>
      <c r="O96" s="340"/>
      <c r="P96" s="340"/>
      <c r="Q96" s="183"/>
      <c r="R96" s="183"/>
      <c r="S96" s="183"/>
    </row>
    <row r="97" spans="3:19" ht="11.25">
      <c r="C97" s="183"/>
      <c r="D97" s="183"/>
      <c r="E97" s="183"/>
      <c r="F97" s="183"/>
      <c r="G97" s="340"/>
      <c r="H97" s="183"/>
      <c r="I97" s="340"/>
      <c r="J97" s="183"/>
      <c r="K97" s="340"/>
      <c r="L97" s="183"/>
      <c r="M97" s="340"/>
      <c r="N97" s="340"/>
      <c r="O97" s="340"/>
      <c r="P97" s="340"/>
      <c r="Q97" s="183"/>
      <c r="R97" s="183"/>
      <c r="S97" s="183"/>
    </row>
    <row r="98" spans="3:19" ht="11.25">
      <c r="C98" s="183"/>
      <c r="D98" s="183"/>
      <c r="E98" s="183"/>
      <c r="F98" s="183"/>
      <c r="G98" s="340"/>
      <c r="H98" s="183"/>
      <c r="I98" s="340"/>
      <c r="J98" s="183"/>
      <c r="K98" s="340"/>
      <c r="L98" s="183"/>
      <c r="M98" s="340"/>
      <c r="N98" s="340"/>
      <c r="O98" s="340"/>
      <c r="P98" s="340"/>
      <c r="Q98" s="183"/>
      <c r="R98" s="183"/>
      <c r="S98" s="183"/>
    </row>
    <row r="99" spans="3:19" ht="11.25">
      <c r="C99" s="183"/>
      <c r="D99" s="183"/>
      <c r="E99" s="183"/>
      <c r="F99" s="183"/>
      <c r="G99" s="340"/>
      <c r="H99" s="183"/>
      <c r="I99" s="340"/>
      <c r="J99" s="183"/>
      <c r="K99" s="340"/>
      <c r="L99" s="183"/>
      <c r="M99" s="340"/>
      <c r="N99" s="340"/>
      <c r="O99" s="340"/>
      <c r="P99" s="340"/>
      <c r="Q99" s="183"/>
      <c r="R99" s="183"/>
      <c r="S99" s="183"/>
    </row>
    <row r="100" spans="3:19" ht="11.25">
      <c r="C100" s="183"/>
      <c r="D100" s="183"/>
      <c r="E100" s="183"/>
      <c r="F100" s="183"/>
      <c r="G100" s="340"/>
      <c r="H100" s="183"/>
      <c r="I100" s="340"/>
      <c r="J100" s="183"/>
      <c r="K100" s="340"/>
      <c r="L100" s="183"/>
      <c r="M100" s="340"/>
      <c r="N100" s="340"/>
      <c r="O100" s="340"/>
      <c r="P100" s="340"/>
      <c r="Q100" s="183"/>
      <c r="R100" s="183"/>
      <c r="S100" s="183"/>
    </row>
    <row r="101" spans="3:19" ht="11.25">
      <c r="C101" s="183"/>
      <c r="D101" s="183"/>
      <c r="E101" s="183"/>
      <c r="F101" s="183"/>
      <c r="G101" s="340"/>
      <c r="H101" s="183"/>
      <c r="I101" s="340"/>
      <c r="J101" s="183"/>
      <c r="K101" s="340"/>
      <c r="L101" s="183"/>
      <c r="M101" s="340"/>
      <c r="N101" s="340"/>
      <c r="O101" s="340"/>
      <c r="P101" s="340"/>
      <c r="Q101" s="183"/>
      <c r="R101" s="183"/>
      <c r="S101" s="183"/>
    </row>
    <row r="102" spans="3:19" ht="11.25">
      <c r="C102" s="183"/>
      <c r="D102" s="183"/>
      <c r="E102" s="183"/>
      <c r="F102" s="183"/>
      <c r="G102" s="340"/>
      <c r="H102" s="183"/>
      <c r="I102" s="340"/>
      <c r="J102" s="183"/>
      <c r="K102" s="340"/>
      <c r="L102" s="183"/>
      <c r="M102" s="340"/>
      <c r="N102" s="340"/>
      <c r="O102" s="340"/>
      <c r="P102" s="340"/>
      <c r="Q102" s="183"/>
      <c r="R102" s="183"/>
      <c r="S102" s="183"/>
    </row>
    <row r="103" spans="3:19" ht="11.25">
      <c r="C103" s="183"/>
      <c r="D103" s="183"/>
      <c r="E103" s="183"/>
      <c r="F103" s="183"/>
      <c r="G103" s="340"/>
      <c r="H103" s="183"/>
      <c r="I103" s="340"/>
      <c r="J103" s="183"/>
      <c r="K103" s="340"/>
      <c r="L103" s="183"/>
      <c r="M103" s="340"/>
      <c r="N103" s="340"/>
      <c r="O103" s="340"/>
      <c r="P103" s="340"/>
      <c r="Q103" s="183"/>
      <c r="R103" s="183"/>
      <c r="S103" s="183"/>
    </row>
    <row r="104" spans="3:19" ht="11.25">
      <c r="C104" s="183"/>
      <c r="D104" s="183"/>
      <c r="E104" s="183"/>
      <c r="F104" s="183"/>
      <c r="G104" s="340"/>
      <c r="H104" s="183"/>
      <c r="I104" s="340"/>
      <c r="J104" s="183"/>
      <c r="K104" s="340"/>
      <c r="L104" s="183"/>
      <c r="M104" s="340"/>
      <c r="N104" s="340"/>
      <c r="O104" s="340"/>
      <c r="P104" s="340"/>
      <c r="Q104" s="183"/>
      <c r="R104" s="183"/>
      <c r="S104" s="183"/>
    </row>
    <row r="105" spans="3:19" ht="11.25">
      <c r="C105" s="183"/>
      <c r="D105" s="183"/>
      <c r="E105" s="183"/>
      <c r="F105" s="183"/>
      <c r="G105" s="340"/>
      <c r="H105" s="183"/>
      <c r="I105" s="340"/>
      <c r="J105" s="183"/>
      <c r="K105" s="340"/>
      <c r="L105" s="183"/>
      <c r="M105" s="340"/>
      <c r="N105" s="340"/>
      <c r="O105" s="340"/>
      <c r="P105" s="340"/>
      <c r="Q105" s="183"/>
      <c r="R105" s="183"/>
      <c r="S105" s="183"/>
    </row>
    <row r="106" spans="3:19" ht="11.25">
      <c r="C106" s="183"/>
      <c r="D106" s="183"/>
      <c r="E106" s="183"/>
      <c r="F106" s="183"/>
      <c r="G106" s="340"/>
      <c r="H106" s="183"/>
      <c r="I106" s="340"/>
      <c r="J106" s="183"/>
      <c r="K106" s="340"/>
      <c r="L106" s="183"/>
      <c r="M106" s="340"/>
      <c r="N106" s="340"/>
      <c r="O106" s="340"/>
      <c r="P106" s="340"/>
      <c r="Q106" s="183"/>
      <c r="R106" s="183"/>
      <c r="S106" s="183"/>
    </row>
    <row r="107" spans="3:19" ht="11.25">
      <c r="C107" s="183"/>
      <c r="D107" s="183"/>
      <c r="E107" s="183"/>
      <c r="F107" s="183"/>
      <c r="G107" s="340"/>
      <c r="H107" s="183"/>
      <c r="I107" s="340"/>
      <c r="J107" s="183"/>
      <c r="K107" s="340"/>
      <c r="L107" s="183"/>
      <c r="M107" s="340"/>
      <c r="N107" s="340"/>
      <c r="O107" s="340"/>
      <c r="P107" s="340"/>
      <c r="Q107" s="183"/>
      <c r="R107" s="183"/>
      <c r="S107" s="183"/>
    </row>
    <row r="108" spans="3:19" ht="11.25">
      <c r="C108" s="183"/>
      <c r="D108" s="183"/>
      <c r="E108" s="183"/>
      <c r="F108" s="183"/>
      <c r="G108" s="340"/>
      <c r="H108" s="183"/>
      <c r="I108" s="340"/>
      <c r="J108" s="183"/>
      <c r="K108" s="340"/>
      <c r="L108" s="183"/>
      <c r="M108" s="340"/>
      <c r="N108" s="340"/>
      <c r="O108" s="340"/>
      <c r="P108" s="340"/>
      <c r="Q108" s="183"/>
      <c r="R108" s="183"/>
      <c r="S108" s="183"/>
    </row>
    <row r="109" spans="3:19" ht="11.25">
      <c r="C109" s="183"/>
      <c r="D109" s="183"/>
      <c r="E109" s="183"/>
      <c r="F109" s="183"/>
      <c r="G109" s="340"/>
      <c r="H109" s="183"/>
      <c r="I109" s="340"/>
      <c r="J109" s="183"/>
      <c r="K109" s="340"/>
      <c r="L109" s="183"/>
      <c r="M109" s="340"/>
      <c r="N109" s="340"/>
      <c r="O109" s="340"/>
      <c r="P109" s="340"/>
      <c r="Q109" s="183"/>
      <c r="R109" s="183"/>
      <c r="S109" s="183"/>
    </row>
    <row r="110" spans="3:19" ht="11.25">
      <c r="C110" s="183"/>
      <c r="D110" s="183"/>
      <c r="E110" s="183"/>
      <c r="F110" s="183"/>
      <c r="G110" s="340"/>
      <c r="H110" s="183"/>
      <c r="I110" s="340"/>
      <c r="J110" s="183"/>
      <c r="K110" s="340"/>
      <c r="L110" s="183"/>
      <c r="M110" s="340"/>
      <c r="N110" s="340"/>
      <c r="O110" s="340"/>
      <c r="P110" s="340"/>
      <c r="Q110" s="183"/>
      <c r="R110" s="183"/>
      <c r="S110" s="183"/>
    </row>
    <row r="111" spans="3:19" ht="11.25">
      <c r="C111" s="183"/>
      <c r="D111" s="183"/>
      <c r="E111" s="183"/>
      <c r="F111" s="183"/>
      <c r="G111" s="340"/>
      <c r="H111" s="183"/>
      <c r="I111" s="340"/>
      <c r="J111" s="183"/>
      <c r="K111" s="340"/>
      <c r="L111" s="183"/>
      <c r="M111" s="340"/>
      <c r="N111" s="340"/>
      <c r="O111" s="340"/>
      <c r="P111" s="340"/>
      <c r="Q111" s="183"/>
      <c r="R111" s="183"/>
      <c r="S111" s="183"/>
    </row>
    <row r="112" spans="3:19" ht="11.25">
      <c r="C112" s="183"/>
      <c r="D112" s="183"/>
      <c r="E112" s="183"/>
      <c r="F112" s="183"/>
      <c r="G112" s="340"/>
      <c r="H112" s="183"/>
      <c r="I112" s="340"/>
      <c r="J112" s="183"/>
      <c r="K112" s="340"/>
      <c r="L112" s="183"/>
      <c r="M112" s="340"/>
      <c r="N112" s="340"/>
      <c r="O112" s="340"/>
      <c r="P112" s="340"/>
      <c r="Q112" s="183"/>
      <c r="R112" s="183"/>
      <c r="S112" s="183"/>
    </row>
    <row r="113" spans="3:19" ht="11.25">
      <c r="C113" s="183"/>
      <c r="D113" s="183"/>
      <c r="E113" s="183"/>
      <c r="F113" s="183"/>
      <c r="G113" s="340"/>
      <c r="H113" s="183"/>
      <c r="I113" s="340"/>
      <c r="J113" s="183"/>
      <c r="K113" s="340"/>
      <c r="L113" s="183"/>
      <c r="M113" s="340"/>
      <c r="N113" s="340"/>
      <c r="O113" s="340"/>
      <c r="P113" s="340"/>
      <c r="Q113" s="183"/>
      <c r="R113" s="183"/>
      <c r="S113" s="183"/>
    </row>
    <row r="114" spans="3:19" ht="11.25">
      <c r="C114" s="183"/>
      <c r="D114" s="183"/>
      <c r="E114" s="183"/>
      <c r="F114" s="183"/>
      <c r="G114" s="340"/>
      <c r="H114" s="183"/>
      <c r="I114" s="340"/>
      <c r="J114" s="183"/>
      <c r="K114" s="340"/>
      <c r="L114" s="183"/>
      <c r="M114" s="340"/>
      <c r="N114" s="340"/>
      <c r="O114" s="340"/>
      <c r="P114" s="340"/>
      <c r="Q114" s="183"/>
      <c r="R114" s="183"/>
      <c r="S114" s="183"/>
    </row>
    <row r="115" spans="3:19" ht="11.25">
      <c r="C115" s="183"/>
      <c r="D115" s="183"/>
      <c r="E115" s="183"/>
      <c r="F115" s="183"/>
      <c r="G115" s="340"/>
      <c r="H115" s="183"/>
      <c r="I115" s="340"/>
      <c r="J115" s="183"/>
      <c r="K115" s="340"/>
      <c r="L115" s="183"/>
      <c r="M115" s="340"/>
      <c r="N115" s="340"/>
      <c r="O115" s="340"/>
      <c r="P115" s="340"/>
      <c r="Q115" s="183"/>
      <c r="R115" s="183"/>
      <c r="S115" s="183"/>
    </row>
    <row r="116" spans="3:19" ht="11.25">
      <c r="C116" s="183"/>
      <c r="D116" s="183"/>
      <c r="E116" s="183"/>
      <c r="F116" s="183"/>
      <c r="G116" s="340"/>
      <c r="H116" s="183"/>
      <c r="I116" s="340"/>
      <c r="J116" s="183"/>
      <c r="K116" s="340"/>
      <c r="L116" s="183"/>
      <c r="M116" s="340"/>
      <c r="N116" s="340"/>
      <c r="O116" s="340"/>
      <c r="P116" s="340"/>
      <c r="Q116" s="183"/>
      <c r="R116" s="183"/>
      <c r="S116" s="183"/>
    </row>
  </sheetData>
  <sheetProtection objects="1"/>
  <mergeCells count="4">
    <mergeCell ref="C1:P1"/>
    <mergeCell ref="C2:P2"/>
    <mergeCell ref="C3:P3"/>
    <mergeCell ref="C4:P4"/>
  </mergeCells>
  <hyperlinks>
    <hyperlink ref="C51" location="'Reconciliation Non-GAAP'!Print_Area" display="(2) See page 23 Non-GAAP Financial Measures."/>
  </hyperlinks>
  <printOptions/>
  <pageMargins left="0.5" right="0.5" top="0.5" bottom="0.5" header="0.75" footer="0.25"/>
  <pageSetup fitToHeight="1" fitToWidth="1" horizontalDpi="600" verticalDpi="600" orientation="landscape" scale="91" r:id="rId2"/>
  <headerFooter alignWithMargins="0">
    <oddFooter>&amp;L&amp;A&amp;R&amp;"Arial,Regular"&amp;8Page 2</oddFooter>
  </headerFooter>
  <drawing r:id="rId1"/>
</worksheet>
</file>

<file path=xl/worksheets/sheet5.xml><?xml version="1.0" encoding="utf-8"?>
<worksheet xmlns="http://schemas.openxmlformats.org/spreadsheetml/2006/main" xmlns:r="http://schemas.openxmlformats.org/officeDocument/2006/relationships">
  <sheetPr codeName="Sheet172"/>
  <dimension ref="C1:L114"/>
  <sheetViews>
    <sheetView workbookViewId="0" topLeftCell="A1">
      <selection activeCell="A5" sqref="A5"/>
    </sheetView>
  </sheetViews>
  <sheetFormatPr defaultColWidth="9.33203125" defaultRowHeight="12.75"/>
  <cols>
    <col min="1" max="1" width="1.83203125" style="1" customWidth="1"/>
    <col min="2" max="2" width="3.33203125" style="1" customWidth="1"/>
    <col min="3" max="3" width="58.83203125" style="1" customWidth="1"/>
    <col min="4" max="4" width="9.83203125" style="1" customWidth="1"/>
    <col min="5" max="5" width="2.33203125" style="1" customWidth="1"/>
    <col min="6" max="6" width="9.83203125" style="1" customWidth="1"/>
    <col min="7" max="7" width="2.33203125" style="7" customWidth="1"/>
    <col min="8" max="8" width="9.83203125" style="1" customWidth="1"/>
    <col min="9" max="9" width="2.33203125" style="7" customWidth="1"/>
    <col min="10" max="10" width="9.83203125" style="7" customWidth="1"/>
    <col min="11" max="11" width="8.5" style="1" customWidth="1"/>
    <col min="12" max="12" width="6.5" style="1" customWidth="1"/>
    <col min="13" max="16384" width="9" style="1" customWidth="1"/>
  </cols>
  <sheetData>
    <row r="1" spans="3:12" ht="12.75">
      <c r="C1" s="619" t="s">
        <v>96</v>
      </c>
      <c r="D1" s="619"/>
      <c r="E1" s="619"/>
      <c r="F1" s="619"/>
      <c r="G1" s="619"/>
      <c r="H1" s="619"/>
      <c r="I1" s="619"/>
      <c r="J1" s="619"/>
      <c r="K1" s="619"/>
      <c r="L1" s="619"/>
    </row>
    <row r="2" spans="3:12" ht="12.75" customHeight="1">
      <c r="C2" s="618" t="s">
        <v>318</v>
      </c>
      <c r="D2" s="618"/>
      <c r="E2" s="618"/>
      <c r="F2" s="618"/>
      <c r="G2" s="618"/>
      <c r="H2" s="618"/>
      <c r="I2" s="618"/>
      <c r="J2" s="618"/>
      <c r="K2" s="618"/>
      <c r="L2" s="618"/>
    </row>
    <row r="3" spans="3:12" ht="12.75" customHeight="1">
      <c r="C3" s="617" t="s">
        <v>154</v>
      </c>
      <c r="D3" s="617"/>
      <c r="E3" s="617"/>
      <c r="F3" s="617"/>
      <c r="G3" s="617"/>
      <c r="H3" s="617"/>
      <c r="I3" s="617"/>
      <c r="J3" s="617"/>
      <c r="K3" s="617"/>
      <c r="L3" s="617"/>
    </row>
    <row r="4" spans="3:12" ht="12.75" customHeight="1">
      <c r="C4" s="617" t="s">
        <v>170</v>
      </c>
      <c r="D4" s="617"/>
      <c r="E4" s="617"/>
      <c r="F4" s="617"/>
      <c r="G4" s="617"/>
      <c r="H4" s="617"/>
      <c r="I4" s="617"/>
      <c r="J4" s="617"/>
      <c r="K4" s="617"/>
      <c r="L4" s="617"/>
    </row>
    <row r="5" spans="3:11" ht="11.25" customHeight="1">
      <c r="C5" s="539"/>
      <c r="D5" s="306"/>
      <c r="E5" s="3"/>
      <c r="F5" s="2"/>
      <c r="G5" s="5"/>
      <c r="H5" s="260"/>
      <c r="I5" s="426"/>
      <c r="J5" s="260" t="s">
        <v>19</v>
      </c>
      <c r="K5" s="2"/>
    </row>
    <row r="6" spans="3:11" ht="12.75">
      <c r="C6" s="3" t="s">
        <v>171</v>
      </c>
      <c r="D6" s="4" t="s">
        <v>321</v>
      </c>
      <c r="E6" s="3"/>
      <c r="F6" s="4" t="s">
        <v>433</v>
      </c>
      <c r="G6" s="3"/>
      <c r="H6" s="4" t="s">
        <v>434</v>
      </c>
      <c r="I6" s="5"/>
      <c r="J6" s="6">
        <v>2004</v>
      </c>
      <c r="K6" s="124"/>
    </row>
    <row r="7" spans="3:11" ht="17.25" customHeight="1">
      <c r="C7" s="44" t="s">
        <v>362</v>
      </c>
      <c r="D7" s="2"/>
      <c r="F7" s="2"/>
      <c r="H7" s="2"/>
      <c r="J7" s="2"/>
      <c r="K7" s="24"/>
    </row>
    <row r="8" spans="3:11" ht="11.25">
      <c r="C8" s="1" t="s">
        <v>131</v>
      </c>
      <c r="D8" s="33">
        <v>4200</v>
      </c>
      <c r="F8" s="33">
        <v>4153</v>
      </c>
      <c r="G8" s="34"/>
      <c r="H8" s="33">
        <v>4483</v>
      </c>
      <c r="I8" s="77"/>
      <c r="J8" s="33">
        <v>15864</v>
      </c>
      <c r="K8" s="280"/>
    </row>
    <row r="9" spans="3:11" ht="11.25">
      <c r="C9" s="1" t="s">
        <v>132</v>
      </c>
      <c r="D9" s="65">
        <v>2828</v>
      </c>
      <c r="F9" s="65">
        <v>2849</v>
      </c>
      <c r="G9" s="40"/>
      <c r="H9" s="65">
        <v>3306</v>
      </c>
      <c r="I9" s="77"/>
      <c r="J9" s="65">
        <v>11270</v>
      </c>
      <c r="K9" s="280"/>
    </row>
    <row r="10" spans="3:11" ht="11.25">
      <c r="C10" s="1" t="s">
        <v>133</v>
      </c>
      <c r="D10" s="65">
        <v>3030</v>
      </c>
      <c r="F10" s="65">
        <v>2861</v>
      </c>
      <c r="G10" s="40"/>
      <c r="H10" s="65">
        <v>2817</v>
      </c>
      <c r="I10" s="77"/>
      <c r="J10" s="65">
        <v>10884</v>
      </c>
      <c r="K10" s="280"/>
    </row>
    <row r="11" spans="3:11" ht="11.25">
      <c r="C11" s="176" t="s">
        <v>126</v>
      </c>
      <c r="D11" s="65">
        <v>2804</v>
      </c>
      <c r="E11" s="176"/>
      <c r="F11" s="65">
        <v>1843</v>
      </c>
      <c r="G11" s="40"/>
      <c r="H11" s="65">
        <v>1789</v>
      </c>
      <c r="I11" s="77"/>
      <c r="J11" s="65">
        <v>7690</v>
      </c>
      <c r="K11" s="280"/>
    </row>
    <row r="12" spans="3:11" ht="11.25">
      <c r="C12" s="176" t="s">
        <v>136</v>
      </c>
      <c r="D12" s="65">
        <v>417</v>
      </c>
      <c r="E12" s="176"/>
      <c r="F12" s="65">
        <v>423</v>
      </c>
      <c r="G12" s="40"/>
      <c r="H12" s="65">
        <v>381</v>
      </c>
      <c r="I12" s="77"/>
      <c r="J12" s="65">
        <v>1535</v>
      </c>
      <c r="K12" s="280"/>
    </row>
    <row r="13" spans="3:11" ht="11.25">
      <c r="C13" s="176" t="s">
        <v>134</v>
      </c>
      <c r="D13" s="65">
        <v>304</v>
      </c>
      <c r="E13" s="176"/>
      <c r="F13" s="65">
        <v>313</v>
      </c>
      <c r="G13" s="40"/>
      <c r="H13" s="65">
        <v>332</v>
      </c>
      <c r="I13" s="77"/>
      <c r="J13" s="65">
        <v>1254</v>
      </c>
      <c r="K13" s="280"/>
    </row>
    <row r="14" spans="3:11" ht="11.25">
      <c r="C14" s="176" t="s">
        <v>423</v>
      </c>
      <c r="D14" s="424">
        <f>+D10-D11-D12-D13</f>
        <v>-495</v>
      </c>
      <c r="E14" s="176"/>
      <c r="F14" s="424">
        <f>+F10-F11-F12-F13</f>
        <v>282</v>
      </c>
      <c r="G14" s="218"/>
      <c r="H14" s="424">
        <f>+H10-H11-H12-H13</f>
        <v>315</v>
      </c>
      <c r="I14" s="77"/>
      <c r="J14" s="424">
        <f>+J10-J11-J12-J13</f>
        <v>405</v>
      </c>
      <c r="K14" s="214"/>
    </row>
    <row r="15" spans="3:12" ht="7.5" customHeight="1">
      <c r="C15" s="176"/>
      <c r="D15" s="384"/>
      <c r="E15" s="176"/>
      <c r="F15" s="384"/>
      <c r="G15" s="273"/>
      <c r="H15" s="384"/>
      <c r="I15" s="77"/>
      <c r="J15" s="384"/>
      <c r="K15" s="213"/>
      <c r="L15" s="8"/>
    </row>
    <row r="16" spans="3:12" ht="11.25">
      <c r="C16" s="176" t="s">
        <v>326</v>
      </c>
      <c r="D16" s="229">
        <v>15</v>
      </c>
      <c r="E16" s="176"/>
      <c r="F16" s="229">
        <v>14</v>
      </c>
      <c r="G16" s="206"/>
      <c r="H16" s="229">
        <v>16</v>
      </c>
      <c r="I16" s="77"/>
      <c r="J16" s="349">
        <v>16</v>
      </c>
      <c r="K16" s="280"/>
      <c r="L16" s="8"/>
    </row>
    <row r="17" spans="3:12" ht="11.25">
      <c r="C17" s="176" t="s">
        <v>9</v>
      </c>
      <c r="D17" s="229">
        <v>320</v>
      </c>
      <c r="E17" s="176"/>
      <c r="F17" s="229">
        <v>305</v>
      </c>
      <c r="G17" s="223"/>
      <c r="H17" s="229">
        <v>285</v>
      </c>
      <c r="I17" s="77"/>
      <c r="J17" s="65">
        <v>1013</v>
      </c>
      <c r="K17" s="280"/>
      <c r="L17" s="8"/>
    </row>
    <row r="18" spans="3:12" ht="11.25" customHeight="1">
      <c r="C18" s="177" t="s">
        <v>173</v>
      </c>
      <c r="D18" s="229">
        <v>83</v>
      </c>
      <c r="E18" s="177"/>
      <c r="F18" s="229">
        <v>32</v>
      </c>
      <c r="G18" s="206"/>
      <c r="H18" s="229">
        <v>-14</v>
      </c>
      <c r="I18" s="77"/>
      <c r="J18" s="65">
        <v>197</v>
      </c>
      <c r="K18" s="280"/>
      <c r="L18" s="8"/>
    </row>
    <row r="19" spans="3:12" ht="11.25">
      <c r="C19" s="176" t="s">
        <v>146</v>
      </c>
      <c r="D19" s="229">
        <v>43</v>
      </c>
      <c r="E19" s="176"/>
      <c r="F19" s="229">
        <v>43</v>
      </c>
      <c r="G19" s="223"/>
      <c r="H19" s="229">
        <v>42</v>
      </c>
      <c r="I19" s="77"/>
      <c r="J19" s="65">
        <v>183</v>
      </c>
      <c r="K19" s="280"/>
      <c r="L19" s="8"/>
    </row>
    <row r="20" spans="3:12" ht="11.25">
      <c r="C20" s="1" t="s">
        <v>265</v>
      </c>
      <c r="D20" s="229">
        <v>-23</v>
      </c>
      <c r="F20" s="229">
        <v>-5</v>
      </c>
      <c r="G20" s="223"/>
      <c r="H20" s="229">
        <v>-3</v>
      </c>
      <c r="I20" s="77"/>
      <c r="J20" s="65">
        <v>9</v>
      </c>
      <c r="K20" s="280"/>
      <c r="L20" s="8"/>
    </row>
    <row r="21" spans="3:12" ht="11.25">
      <c r="C21" s="176" t="s">
        <v>158</v>
      </c>
      <c r="D21" s="408">
        <v>15</v>
      </c>
      <c r="E21" s="176"/>
      <c r="F21" s="408">
        <v>128</v>
      </c>
      <c r="G21" s="223"/>
      <c r="H21" s="408">
        <v>126</v>
      </c>
      <c r="I21" s="77"/>
      <c r="J21" s="425">
        <v>286</v>
      </c>
      <c r="K21" s="280"/>
      <c r="L21" s="8"/>
    </row>
    <row r="22" spans="3:12" ht="13.5" customHeight="1">
      <c r="C22" s="176" t="s">
        <v>422</v>
      </c>
      <c r="D22" s="218">
        <f>+D14+D16+D17-D20+D18-D19-D21</f>
        <v>-112</v>
      </c>
      <c r="E22" s="176"/>
      <c r="F22" s="218">
        <f>+F14+F16+F17-F20+F18-F19-F21</f>
        <v>467</v>
      </c>
      <c r="G22" s="218"/>
      <c r="H22" s="218">
        <f>+H14+H16+H17-H20+H18-H19-H21</f>
        <v>437</v>
      </c>
      <c r="I22" s="77"/>
      <c r="J22" s="218">
        <f>+J14+J16+J17-J20+J18-J19-J21</f>
        <v>1153</v>
      </c>
      <c r="K22" s="214"/>
      <c r="L22" s="8"/>
    </row>
    <row r="23" spans="3:12" ht="9.75" customHeight="1">
      <c r="C23" s="176"/>
      <c r="D23" s="263"/>
      <c r="E23" s="176"/>
      <c r="F23" s="263"/>
      <c r="G23" s="218"/>
      <c r="H23" s="263"/>
      <c r="I23" s="77"/>
      <c r="J23" s="263"/>
      <c r="K23" s="214"/>
      <c r="L23" s="8"/>
    </row>
    <row r="24" spans="3:12" ht="11.25" customHeight="1">
      <c r="C24" s="177" t="s">
        <v>173</v>
      </c>
      <c r="D24" s="229">
        <v>83</v>
      </c>
      <c r="E24" s="177"/>
      <c r="F24" s="229">
        <v>32</v>
      </c>
      <c r="G24" s="206"/>
      <c r="H24" s="363">
        <v>-14</v>
      </c>
      <c r="I24" s="444"/>
      <c r="J24" s="65">
        <v>197</v>
      </c>
      <c r="K24" s="280"/>
      <c r="L24" s="8"/>
    </row>
    <row r="25" spans="3:12" ht="11.25">
      <c r="C25" s="177" t="s">
        <v>266</v>
      </c>
      <c r="D25" s="408">
        <v>8</v>
      </c>
      <c r="E25" s="176"/>
      <c r="F25" s="408">
        <v>8</v>
      </c>
      <c r="G25" s="223"/>
      <c r="H25" s="408">
        <v>4</v>
      </c>
      <c r="I25" s="77"/>
      <c r="J25" s="425">
        <v>44</v>
      </c>
      <c r="K25" s="280"/>
      <c r="L25" s="8"/>
    </row>
    <row r="26" spans="3:12" ht="18" customHeight="1" thickBot="1">
      <c r="C26" s="532" t="s">
        <v>421</v>
      </c>
      <c r="D26" s="217">
        <f>+D22-D24+D25</f>
        <v>-187</v>
      </c>
      <c r="E26" s="176"/>
      <c r="F26" s="217">
        <f>+F22-F24+F25</f>
        <v>443</v>
      </c>
      <c r="G26" s="218"/>
      <c r="H26" s="217">
        <f>+H22-H24+H25</f>
        <v>455</v>
      </c>
      <c r="I26" s="77"/>
      <c r="J26" s="217">
        <f>+J22-J24+J25</f>
        <v>1000</v>
      </c>
      <c r="K26" s="214"/>
      <c r="L26" s="8"/>
    </row>
    <row r="27" spans="3:12" ht="12" thickTop="1">
      <c r="C27" s="183"/>
      <c r="D27" s="183"/>
      <c r="E27" s="183"/>
      <c r="F27" s="183"/>
      <c r="G27" s="340"/>
      <c r="H27" s="183"/>
      <c r="I27" s="340"/>
      <c r="J27" s="340"/>
      <c r="K27" s="183"/>
      <c r="L27" s="183"/>
    </row>
    <row r="28" spans="3:12" ht="11.25">
      <c r="C28" s="35" t="s">
        <v>351</v>
      </c>
      <c r="D28" s="231"/>
      <c r="E28" s="231"/>
      <c r="F28" s="231"/>
      <c r="G28" s="342"/>
      <c r="H28" s="231"/>
      <c r="I28" s="342"/>
      <c r="J28" s="342"/>
      <c r="K28" s="183"/>
      <c r="L28" s="183"/>
    </row>
    <row r="29" spans="3:12" ht="11.25">
      <c r="C29" s="44" t="s">
        <v>175</v>
      </c>
      <c r="D29" s="17">
        <v>0.926</v>
      </c>
      <c r="E29" s="231"/>
      <c r="F29" s="17">
        <v>0.644</v>
      </c>
      <c r="G29" s="342"/>
      <c r="H29" s="17">
        <v>0.635</v>
      </c>
      <c r="I29" s="342"/>
      <c r="J29" s="17">
        <v>0.707</v>
      </c>
      <c r="K29" s="183"/>
      <c r="L29" s="183"/>
    </row>
    <row r="30" spans="3:12" ht="11.25">
      <c r="C30" s="44" t="s">
        <v>176</v>
      </c>
      <c r="D30" s="17">
        <v>0.138</v>
      </c>
      <c r="E30" s="231"/>
      <c r="F30" s="17">
        <v>0.147</v>
      </c>
      <c r="G30" s="342"/>
      <c r="H30" s="17">
        <v>0.136</v>
      </c>
      <c r="I30" s="342"/>
      <c r="J30" s="17">
        <v>0.141</v>
      </c>
      <c r="K30" s="183"/>
      <c r="L30" s="183"/>
    </row>
    <row r="31" spans="3:12" ht="11.25">
      <c r="C31" s="44" t="s">
        <v>177</v>
      </c>
      <c r="D31" s="17">
        <v>0.101</v>
      </c>
      <c r="E31" s="231"/>
      <c r="F31" s="17">
        <v>0.109</v>
      </c>
      <c r="G31" s="342"/>
      <c r="H31" s="17">
        <v>0.118</v>
      </c>
      <c r="I31" s="342"/>
      <c r="J31" s="17">
        <v>0.115</v>
      </c>
      <c r="K31" s="183"/>
      <c r="L31" s="183"/>
    </row>
    <row r="32" spans="3:12" ht="12" thickBot="1">
      <c r="C32" s="369" t="s">
        <v>59</v>
      </c>
      <c r="D32" s="186">
        <f>SUM(D29:D31)</f>
        <v>1.165</v>
      </c>
      <c r="E32" s="183"/>
      <c r="F32" s="186">
        <f>SUM(F29:F31)</f>
        <v>0.9</v>
      </c>
      <c r="G32" s="340"/>
      <c r="H32" s="186">
        <f>SUM(H29:H31)</f>
        <v>0.889</v>
      </c>
      <c r="I32" s="340"/>
      <c r="J32" s="186">
        <f>SUM(J29:J31)</f>
        <v>0.963</v>
      </c>
      <c r="K32" s="183"/>
      <c r="L32" s="183"/>
    </row>
    <row r="33" spans="3:12" ht="12" thickTop="1">
      <c r="C33" s="183"/>
      <c r="D33" s="183"/>
      <c r="E33" s="183"/>
      <c r="F33" s="183"/>
      <c r="G33" s="340"/>
      <c r="H33" s="183"/>
      <c r="I33" s="340"/>
      <c r="J33" s="340"/>
      <c r="K33" s="183"/>
      <c r="L33" s="183"/>
    </row>
    <row r="34" spans="3:12" ht="9.75" customHeight="1">
      <c r="C34" s="275" t="s">
        <v>451</v>
      </c>
      <c r="D34" s="275"/>
      <c r="E34" s="275"/>
      <c r="F34" s="276"/>
      <c r="G34" s="341"/>
      <c r="H34" s="276"/>
      <c r="I34" s="341"/>
      <c r="J34" s="183"/>
      <c r="K34" s="212"/>
      <c r="L34" s="183"/>
    </row>
    <row r="35" spans="3:12" ht="11.25">
      <c r="C35" s="571" t="s">
        <v>543</v>
      </c>
      <c r="D35" s="183"/>
      <c r="E35" s="183"/>
      <c r="F35" s="183"/>
      <c r="G35" s="183"/>
      <c r="H35" s="183"/>
      <c r="I35" s="183"/>
      <c r="J35" s="340"/>
      <c r="K35" s="212"/>
      <c r="L35" s="183"/>
    </row>
    <row r="36" spans="3:12" ht="11.25">
      <c r="C36" s="183"/>
      <c r="D36" s="183"/>
      <c r="E36" s="183"/>
      <c r="F36" s="183"/>
      <c r="G36" s="340"/>
      <c r="H36" s="183"/>
      <c r="I36" s="340"/>
      <c r="J36" s="340"/>
      <c r="K36" s="183"/>
      <c r="L36" s="183"/>
    </row>
    <row r="37" spans="3:12" ht="11.25">
      <c r="C37" s="183"/>
      <c r="D37" s="183"/>
      <c r="E37" s="183"/>
      <c r="F37" s="183"/>
      <c r="G37" s="340"/>
      <c r="H37" s="183"/>
      <c r="I37" s="340"/>
      <c r="J37" s="340"/>
      <c r="K37" s="183"/>
      <c r="L37" s="183"/>
    </row>
    <row r="38" spans="3:12" ht="11.25">
      <c r="C38" s="183"/>
      <c r="D38" s="183"/>
      <c r="E38" s="183"/>
      <c r="F38" s="183"/>
      <c r="G38" s="340"/>
      <c r="H38" s="183"/>
      <c r="I38" s="340"/>
      <c r="J38" s="340"/>
      <c r="K38" s="183"/>
      <c r="L38" s="183"/>
    </row>
    <row r="39" spans="3:12" ht="11.25">
      <c r="C39" s="183"/>
      <c r="D39" s="183"/>
      <c r="E39" s="183"/>
      <c r="F39" s="183"/>
      <c r="G39" s="340"/>
      <c r="H39" s="183"/>
      <c r="I39" s="340"/>
      <c r="J39" s="340"/>
      <c r="K39" s="183"/>
      <c r="L39" s="183"/>
    </row>
    <row r="40" spans="3:12" ht="11.25">
      <c r="C40" s="183"/>
      <c r="D40" s="183"/>
      <c r="E40" s="183"/>
      <c r="F40" s="183"/>
      <c r="G40" s="340"/>
      <c r="H40" s="183"/>
      <c r="I40" s="340"/>
      <c r="J40" s="340"/>
      <c r="K40" s="183"/>
      <c r="L40" s="183"/>
    </row>
    <row r="41" spans="3:12" ht="11.25">
      <c r="C41" s="183"/>
      <c r="D41" s="183"/>
      <c r="E41" s="183"/>
      <c r="F41" s="183"/>
      <c r="G41" s="340"/>
      <c r="H41" s="183"/>
      <c r="I41" s="340"/>
      <c r="J41" s="340"/>
      <c r="K41" s="183"/>
      <c r="L41" s="183"/>
    </row>
    <row r="42" spans="3:12" ht="11.25">
      <c r="C42" s="183"/>
      <c r="D42" s="183"/>
      <c r="E42" s="183"/>
      <c r="F42" s="183"/>
      <c r="G42" s="340"/>
      <c r="H42" s="183"/>
      <c r="I42" s="340"/>
      <c r="J42" s="340"/>
      <c r="K42" s="183"/>
      <c r="L42" s="183"/>
    </row>
    <row r="43" spans="3:12" ht="11.25">
      <c r="C43" s="183"/>
      <c r="D43" s="183"/>
      <c r="E43" s="183"/>
      <c r="F43" s="183"/>
      <c r="G43" s="340"/>
      <c r="H43" s="183"/>
      <c r="I43" s="340"/>
      <c r="J43" s="340"/>
      <c r="K43" s="183"/>
      <c r="L43" s="183"/>
    </row>
    <row r="44" spans="3:12" ht="11.25">
      <c r="C44" s="183"/>
      <c r="D44" s="183"/>
      <c r="E44" s="183"/>
      <c r="F44" s="183"/>
      <c r="G44" s="340"/>
      <c r="H44" s="183"/>
      <c r="I44" s="340"/>
      <c r="J44" s="340"/>
      <c r="K44" s="183"/>
      <c r="L44" s="183"/>
    </row>
    <row r="45" spans="3:12" ht="11.25">
      <c r="C45" s="183"/>
      <c r="D45" s="183"/>
      <c r="E45" s="183"/>
      <c r="F45" s="183"/>
      <c r="G45" s="340"/>
      <c r="H45" s="183"/>
      <c r="I45" s="340"/>
      <c r="J45" s="340"/>
      <c r="K45" s="183"/>
      <c r="L45" s="183"/>
    </row>
    <row r="46" spans="3:12" ht="11.25">
      <c r="C46" s="183"/>
      <c r="D46" s="183"/>
      <c r="E46" s="183"/>
      <c r="F46" s="183"/>
      <c r="G46" s="340"/>
      <c r="H46" s="183"/>
      <c r="I46" s="340"/>
      <c r="J46" s="340"/>
      <c r="K46" s="183"/>
      <c r="L46" s="183"/>
    </row>
    <row r="47" spans="3:12" ht="11.25">
      <c r="C47" s="183"/>
      <c r="D47" s="183"/>
      <c r="E47" s="183"/>
      <c r="F47" s="183"/>
      <c r="G47" s="340"/>
      <c r="H47" s="183"/>
      <c r="I47" s="340"/>
      <c r="J47" s="340"/>
      <c r="K47" s="183"/>
      <c r="L47" s="183"/>
    </row>
    <row r="48" spans="3:12" ht="11.25">
      <c r="C48" s="183"/>
      <c r="D48" s="183"/>
      <c r="E48" s="183"/>
      <c r="F48" s="183"/>
      <c r="G48" s="340"/>
      <c r="H48" s="183"/>
      <c r="I48" s="340"/>
      <c r="J48" s="340"/>
      <c r="K48" s="183"/>
      <c r="L48" s="183"/>
    </row>
    <row r="49" spans="3:12" ht="11.25">
      <c r="C49" s="183"/>
      <c r="D49" s="183"/>
      <c r="E49" s="183"/>
      <c r="F49" s="183"/>
      <c r="G49" s="340"/>
      <c r="H49" s="183"/>
      <c r="I49" s="340"/>
      <c r="J49" s="340"/>
      <c r="K49" s="183"/>
      <c r="L49" s="183"/>
    </row>
    <row r="50" spans="3:12" ht="11.25">
      <c r="C50" s="183"/>
      <c r="D50" s="183"/>
      <c r="E50" s="183"/>
      <c r="F50" s="183"/>
      <c r="G50" s="340"/>
      <c r="H50" s="183"/>
      <c r="I50" s="340"/>
      <c r="J50" s="340"/>
      <c r="K50" s="183"/>
      <c r="L50" s="183"/>
    </row>
    <row r="51" spans="3:12" ht="11.25">
      <c r="C51" s="183"/>
      <c r="D51" s="183"/>
      <c r="E51" s="183"/>
      <c r="F51" s="183"/>
      <c r="G51" s="340"/>
      <c r="H51" s="183"/>
      <c r="I51" s="340"/>
      <c r="J51" s="340"/>
      <c r="K51" s="183"/>
      <c r="L51" s="183"/>
    </row>
    <row r="52" spans="3:12" ht="11.25">
      <c r="C52" s="183"/>
      <c r="D52" s="183"/>
      <c r="E52" s="183"/>
      <c r="F52" s="183"/>
      <c r="G52" s="340"/>
      <c r="H52" s="183"/>
      <c r="I52" s="340"/>
      <c r="J52" s="340"/>
      <c r="K52" s="183"/>
      <c r="L52" s="183"/>
    </row>
    <row r="53" spans="3:12" ht="11.25">
      <c r="C53" s="183"/>
      <c r="D53" s="183"/>
      <c r="E53" s="183"/>
      <c r="F53" s="183"/>
      <c r="G53" s="340"/>
      <c r="H53" s="183"/>
      <c r="I53" s="340"/>
      <c r="J53" s="340"/>
      <c r="K53" s="183"/>
      <c r="L53" s="183"/>
    </row>
    <row r="54" spans="3:12" ht="11.25">
      <c r="C54" s="183"/>
      <c r="D54" s="183"/>
      <c r="E54" s="183"/>
      <c r="F54" s="183"/>
      <c r="G54" s="340"/>
      <c r="H54" s="183"/>
      <c r="I54" s="340"/>
      <c r="J54" s="340"/>
      <c r="K54" s="183"/>
      <c r="L54" s="183"/>
    </row>
    <row r="55" spans="3:12" ht="11.25">
      <c r="C55" s="183"/>
      <c r="D55" s="183"/>
      <c r="E55" s="183"/>
      <c r="F55" s="183"/>
      <c r="G55" s="340"/>
      <c r="H55" s="183"/>
      <c r="I55" s="340"/>
      <c r="J55" s="340"/>
      <c r="K55" s="183"/>
      <c r="L55" s="183"/>
    </row>
    <row r="56" spans="3:12" ht="11.25">
      <c r="C56" s="183"/>
      <c r="D56" s="183"/>
      <c r="E56" s="183"/>
      <c r="F56" s="183"/>
      <c r="G56" s="340"/>
      <c r="H56" s="183"/>
      <c r="I56" s="340"/>
      <c r="J56" s="340"/>
      <c r="K56" s="183"/>
      <c r="L56" s="183"/>
    </row>
    <row r="57" spans="3:12" ht="11.25">
      <c r="C57" s="183"/>
      <c r="D57" s="183"/>
      <c r="E57" s="183"/>
      <c r="F57" s="183"/>
      <c r="G57" s="340"/>
      <c r="H57" s="183"/>
      <c r="I57" s="340"/>
      <c r="J57" s="340"/>
      <c r="K57" s="183"/>
      <c r="L57" s="183"/>
    </row>
    <row r="58" spans="3:12" ht="11.25">
      <c r="C58" s="183"/>
      <c r="D58" s="183"/>
      <c r="E58" s="183"/>
      <c r="F58" s="183"/>
      <c r="G58" s="340"/>
      <c r="H58" s="183"/>
      <c r="I58" s="340"/>
      <c r="J58" s="340"/>
      <c r="K58" s="183"/>
      <c r="L58" s="183"/>
    </row>
    <row r="59" spans="3:12" ht="11.25">
      <c r="C59" s="183"/>
      <c r="D59" s="183"/>
      <c r="E59" s="183"/>
      <c r="F59" s="183"/>
      <c r="G59" s="340"/>
      <c r="H59" s="183"/>
      <c r="I59" s="340"/>
      <c r="J59" s="340"/>
      <c r="K59" s="183"/>
      <c r="L59" s="183"/>
    </row>
    <row r="60" spans="3:12" ht="11.25">
      <c r="C60" s="183"/>
      <c r="D60" s="183"/>
      <c r="E60" s="183"/>
      <c r="F60" s="183"/>
      <c r="G60" s="340"/>
      <c r="H60" s="183"/>
      <c r="I60" s="340"/>
      <c r="J60" s="340"/>
      <c r="K60" s="183"/>
      <c r="L60" s="183"/>
    </row>
    <row r="61" spans="3:12" ht="11.25">
      <c r="C61" s="183"/>
      <c r="D61" s="183"/>
      <c r="E61" s="183"/>
      <c r="F61" s="183"/>
      <c r="G61" s="340"/>
      <c r="H61" s="183"/>
      <c r="I61" s="340"/>
      <c r="J61" s="340"/>
      <c r="K61" s="183"/>
      <c r="L61" s="183"/>
    </row>
    <row r="62" spans="3:12" ht="11.25">
      <c r="C62" s="183"/>
      <c r="D62" s="183"/>
      <c r="E62" s="183"/>
      <c r="F62" s="183"/>
      <c r="G62" s="340"/>
      <c r="H62" s="183"/>
      <c r="I62" s="340"/>
      <c r="J62" s="340"/>
      <c r="K62" s="183"/>
      <c r="L62" s="183"/>
    </row>
    <row r="63" spans="3:12" ht="11.25">
      <c r="C63" s="183"/>
      <c r="D63" s="183"/>
      <c r="E63" s="183"/>
      <c r="F63" s="183"/>
      <c r="G63" s="340"/>
      <c r="H63" s="183"/>
      <c r="I63" s="340"/>
      <c r="J63" s="340"/>
      <c r="K63" s="183"/>
      <c r="L63" s="183"/>
    </row>
    <row r="64" spans="3:12" ht="11.25">
      <c r="C64" s="183"/>
      <c r="D64" s="183"/>
      <c r="E64" s="183"/>
      <c r="F64" s="183"/>
      <c r="G64" s="340"/>
      <c r="H64" s="183"/>
      <c r="I64" s="340"/>
      <c r="J64" s="340"/>
      <c r="K64" s="183"/>
      <c r="L64" s="183"/>
    </row>
    <row r="65" spans="3:12" ht="11.25">
      <c r="C65" s="183"/>
      <c r="D65" s="183"/>
      <c r="E65" s="183"/>
      <c r="F65" s="183"/>
      <c r="G65" s="340"/>
      <c r="H65" s="183"/>
      <c r="I65" s="340"/>
      <c r="J65" s="340"/>
      <c r="K65" s="183"/>
      <c r="L65" s="183"/>
    </row>
    <row r="66" spans="3:12" ht="11.25">
      <c r="C66" s="183"/>
      <c r="D66" s="183"/>
      <c r="E66" s="183"/>
      <c r="F66" s="183"/>
      <c r="G66" s="340"/>
      <c r="H66" s="183"/>
      <c r="I66" s="340"/>
      <c r="J66" s="340"/>
      <c r="K66" s="183"/>
      <c r="L66" s="183"/>
    </row>
    <row r="67" spans="3:12" ht="11.25">
      <c r="C67" s="183"/>
      <c r="D67" s="183"/>
      <c r="E67" s="183"/>
      <c r="F67" s="183"/>
      <c r="G67" s="340"/>
      <c r="H67" s="183"/>
      <c r="I67" s="340"/>
      <c r="J67" s="340"/>
      <c r="K67" s="183"/>
      <c r="L67" s="183"/>
    </row>
    <row r="68" spans="3:12" ht="11.25">
      <c r="C68" s="183"/>
      <c r="D68" s="183"/>
      <c r="E68" s="183"/>
      <c r="F68" s="183"/>
      <c r="G68" s="340"/>
      <c r="H68" s="183"/>
      <c r="I68" s="340"/>
      <c r="J68" s="340"/>
      <c r="K68" s="183"/>
      <c r="L68" s="183"/>
    </row>
    <row r="69" spans="3:12" ht="11.25">
      <c r="C69" s="183"/>
      <c r="D69" s="183"/>
      <c r="E69" s="183"/>
      <c r="F69" s="183"/>
      <c r="G69" s="340"/>
      <c r="H69" s="183"/>
      <c r="I69" s="340"/>
      <c r="J69" s="340"/>
      <c r="K69" s="183"/>
      <c r="L69" s="183"/>
    </row>
    <row r="70" spans="3:12" ht="11.25">
      <c r="C70" s="183"/>
      <c r="D70" s="183"/>
      <c r="E70" s="183"/>
      <c r="F70" s="183"/>
      <c r="G70" s="340"/>
      <c r="H70" s="183"/>
      <c r="I70" s="340"/>
      <c r="J70" s="340"/>
      <c r="K70" s="183"/>
      <c r="L70" s="183"/>
    </row>
    <row r="71" spans="3:12" ht="11.25">
      <c r="C71" s="183"/>
      <c r="D71" s="183"/>
      <c r="E71" s="183"/>
      <c r="F71" s="183"/>
      <c r="G71" s="340"/>
      <c r="H71" s="183"/>
      <c r="I71" s="340"/>
      <c r="J71" s="340"/>
      <c r="K71" s="183"/>
      <c r="L71" s="183"/>
    </row>
    <row r="72" spans="3:12" ht="11.25">
      <c r="C72" s="183"/>
      <c r="D72" s="183"/>
      <c r="E72" s="183"/>
      <c r="F72" s="183"/>
      <c r="G72" s="340"/>
      <c r="H72" s="183"/>
      <c r="I72" s="340"/>
      <c r="J72" s="340"/>
      <c r="K72" s="183"/>
      <c r="L72" s="183"/>
    </row>
    <row r="73" spans="3:12" ht="11.25">
      <c r="C73" s="183"/>
      <c r="D73" s="183"/>
      <c r="E73" s="183"/>
      <c r="F73" s="183"/>
      <c r="G73" s="340"/>
      <c r="H73" s="183"/>
      <c r="I73" s="340"/>
      <c r="J73" s="340"/>
      <c r="K73" s="183"/>
      <c r="L73" s="183"/>
    </row>
    <row r="74" spans="3:12" ht="11.25">
      <c r="C74" s="183"/>
      <c r="D74" s="183"/>
      <c r="E74" s="183"/>
      <c r="F74" s="183"/>
      <c r="G74" s="340"/>
      <c r="H74" s="183"/>
      <c r="I74" s="340"/>
      <c r="J74" s="340"/>
      <c r="K74" s="183"/>
      <c r="L74" s="183"/>
    </row>
    <row r="75" spans="3:12" ht="11.25">
      <c r="C75" s="183"/>
      <c r="D75" s="183"/>
      <c r="E75" s="183"/>
      <c r="F75" s="183"/>
      <c r="G75" s="340"/>
      <c r="H75" s="183"/>
      <c r="I75" s="340"/>
      <c r="J75" s="340"/>
      <c r="K75" s="183"/>
      <c r="L75" s="183"/>
    </row>
    <row r="76" spans="3:12" ht="11.25">
      <c r="C76" s="183"/>
      <c r="D76" s="183"/>
      <c r="E76" s="183"/>
      <c r="F76" s="183"/>
      <c r="G76" s="340"/>
      <c r="H76" s="183"/>
      <c r="I76" s="340"/>
      <c r="J76" s="340"/>
      <c r="K76" s="183"/>
      <c r="L76" s="183"/>
    </row>
    <row r="77" spans="3:12" ht="11.25">
      <c r="C77" s="183"/>
      <c r="D77" s="183"/>
      <c r="E77" s="183"/>
      <c r="F77" s="183"/>
      <c r="G77" s="340"/>
      <c r="H77" s="183"/>
      <c r="I77" s="340"/>
      <c r="J77" s="340"/>
      <c r="K77" s="183"/>
      <c r="L77" s="183"/>
    </row>
    <row r="78" spans="3:12" ht="11.25">
      <c r="C78" s="183"/>
      <c r="D78" s="183"/>
      <c r="E78" s="183"/>
      <c r="F78" s="183"/>
      <c r="G78" s="340"/>
      <c r="H78" s="183"/>
      <c r="I78" s="340"/>
      <c r="J78" s="340"/>
      <c r="K78" s="183"/>
      <c r="L78" s="183"/>
    </row>
    <row r="79" spans="3:12" ht="11.25">
      <c r="C79" s="183"/>
      <c r="D79" s="183"/>
      <c r="E79" s="183"/>
      <c r="F79" s="183"/>
      <c r="G79" s="340"/>
      <c r="H79" s="183"/>
      <c r="I79" s="340"/>
      <c r="J79" s="340"/>
      <c r="K79" s="183"/>
      <c r="L79" s="183"/>
    </row>
    <row r="80" spans="3:12" ht="11.25">
      <c r="C80" s="183"/>
      <c r="D80" s="183"/>
      <c r="E80" s="183"/>
      <c r="F80" s="183"/>
      <c r="G80" s="340"/>
      <c r="H80" s="183"/>
      <c r="I80" s="340"/>
      <c r="J80" s="340"/>
      <c r="K80" s="183"/>
      <c r="L80" s="183"/>
    </row>
    <row r="81" spans="3:12" ht="11.25">
      <c r="C81" s="183"/>
      <c r="D81" s="183"/>
      <c r="E81" s="183"/>
      <c r="F81" s="183"/>
      <c r="G81" s="340"/>
      <c r="H81" s="183"/>
      <c r="I81" s="340"/>
      <c r="J81" s="340"/>
      <c r="K81" s="183"/>
      <c r="L81" s="183"/>
    </row>
    <row r="82" spans="3:12" ht="11.25">
      <c r="C82" s="183"/>
      <c r="D82" s="183"/>
      <c r="E82" s="183"/>
      <c r="F82" s="183"/>
      <c r="G82" s="340"/>
      <c r="H82" s="183"/>
      <c r="I82" s="340"/>
      <c r="J82" s="340"/>
      <c r="K82" s="183"/>
      <c r="L82" s="183"/>
    </row>
    <row r="83" spans="3:12" ht="11.25">
      <c r="C83" s="183"/>
      <c r="D83" s="183"/>
      <c r="E83" s="183"/>
      <c r="F83" s="183"/>
      <c r="G83" s="340"/>
      <c r="H83" s="183"/>
      <c r="I83" s="340"/>
      <c r="J83" s="340"/>
      <c r="K83" s="183"/>
      <c r="L83" s="183"/>
    </row>
    <row r="84" spans="3:12" ht="11.25">
      <c r="C84" s="183"/>
      <c r="D84" s="183"/>
      <c r="E84" s="183"/>
      <c r="F84" s="183"/>
      <c r="G84" s="340"/>
      <c r="H84" s="183"/>
      <c r="I84" s="340"/>
      <c r="J84" s="340"/>
      <c r="K84" s="183"/>
      <c r="L84" s="183"/>
    </row>
    <row r="85" spans="3:12" ht="11.25">
      <c r="C85" s="183"/>
      <c r="D85" s="183"/>
      <c r="E85" s="183"/>
      <c r="F85" s="183"/>
      <c r="G85" s="340"/>
      <c r="H85" s="183"/>
      <c r="I85" s="340"/>
      <c r="J85" s="340"/>
      <c r="K85" s="183"/>
      <c r="L85" s="183"/>
    </row>
    <row r="86" spans="3:12" ht="11.25">
      <c r="C86" s="183"/>
      <c r="D86" s="183"/>
      <c r="E86" s="183"/>
      <c r="F86" s="183"/>
      <c r="G86" s="340"/>
      <c r="H86" s="183"/>
      <c r="I86" s="340"/>
      <c r="J86" s="340"/>
      <c r="K86" s="183"/>
      <c r="L86" s="183"/>
    </row>
    <row r="87" spans="3:12" ht="11.25">
      <c r="C87" s="183"/>
      <c r="D87" s="183"/>
      <c r="E87" s="183"/>
      <c r="F87" s="183"/>
      <c r="G87" s="340"/>
      <c r="H87" s="183"/>
      <c r="I87" s="340"/>
      <c r="J87" s="340"/>
      <c r="K87" s="183"/>
      <c r="L87" s="183"/>
    </row>
    <row r="88" spans="3:12" ht="11.25">
      <c r="C88" s="183"/>
      <c r="D88" s="183"/>
      <c r="E88" s="183"/>
      <c r="F88" s="183"/>
      <c r="G88" s="340"/>
      <c r="H88" s="183"/>
      <c r="I88" s="340"/>
      <c r="J88" s="340"/>
      <c r="K88" s="183"/>
      <c r="L88" s="183"/>
    </row>
    <row r="89" spans="3:12" ht="11.25">
      <c r="C89" s="183"/>
      <c r="D89" s="183"/>
      <c r="E89" s="183"/>
      <c r="F89" s="183"/>
      <c r="G89" s="340"/>
      <c r="H89" s="183"/>
      <c r="I89" s="340"/>
      <c r="J89" s="340"/>
      <c r="K89" s="183"/>
      <c r="L89" s="183"/>
    </row>
    <row r="90" spans="3:12" ht="11.25">
      <c r="C90" s="183"/>
      <c r="D90" s="183"/>
      <c r="E90" s="183"/>
      <c r="F90" s="183"/>
      <c r="G90" s="340"/>
      <c r="H90" s="183"/>
      <c r="I90" s="340"/>
      <c r="J90" s="340"/>
      <c r="K90" s="183"/>
      <c r="L90" s="183"/>
    </row>
    <row r="91" spans="3:12" ht="11.25">
      <c r="C91" s="183"/>
      <c r="D91" s="183"/>
      <c r="E91" s="183"/>
      <c r="F91" s="183"/>
      <c r="G91" s="340"/>
      <c r="H91" s="183"/>
      <c r="I91" s="340"/>
      <c r="J91" s="340"/>
      <c r="K91" s="183"/>
      <c r="L91" s="183"/>
    </row>
    <row r="92" spans="3:12" ht="11.25">
      <c r="C92" s="183"/>
      <c r="D92" s="183"/>
      <c r="E92" s="183"/>
      <c r="F92" s="183"/>
      <c r="G92" s="340"/>
      <c r="H92" s="183"/>
      <c r="I92" s="340"/>
      <c r="J92" s="340"/>
      <c r="K92" s="183"/>
      <c r="L92" s="183"/>
    </row>
    <row r="93" spans="3:12" ht="11.25">
      <c r="C93" s="183"/>
      <c r="D93" s="183"/>
      <c r="E93" s="183"/>
      <c r="F93" s="183"/>
      <c r="G93" s="340"/>
      <c r="H93" s="183"/>
      <c r="I93" s="340"/>
      <c r="J93" s="340"/>
      <c r="K93" s="183"/>
      <c r="L93" s="183"/>
    </row>
    <row r="94" spans="3:12" ht="11.25">
      <c r="C94" s="183"/>
      <c r="D94" s="183"/>
      <c r="E94" s="183"/>
      <c r="F94" s="183"/>
      <c r="G94" s="340"/>
      <c r="H94" s="183"/>
      <c r="I94" s="340"/>
      <c r="J94" s="340"/>
      <c r="K94" s="183"/>
      <c r="L94" s="183"/>
    </row>
    <row r="95" spans="3:12" ht="11.25">
      <c r="C95" s="183"/>
      <c r="D95" s="183"/>
      <c r="E95" s="183"/>
      <c r="F95" s="183"/>
      <c r="G95" s="340"/>
      <c r="H95" s="183"/>
      <c r="I95" s="340"/>
      <c r="J95" s="340"/>
      <c r="K95" s="183"/>
      <c r="L95" s="183"/>
    </row>
    <row r="96" spans="3:12" ht="11.25">
      <c r="C96" s="183"/>
      <c r="D96" s="183"/>
      <c r="E96" s="183"/>
      <c r="F96" s="183"/>
      <c r="G96" s="340"/>
      <c r="H96" s="183"/>
      <c r="I96" s="340"/>
      <c r="J96" s="340"/>
      <c r="K96" s="183"/>
      <c r="L96" s="183"/>
    </row>
    <row r="97" spans="3:12" ht="11.25">
      <c r="C97" s="183"/>
      <c r="D97" s="183"/>
      <c r="E97" s="183"/>
      <c r="F97" s="183"/>
      <c r="G97" s="340"/>
      <c r="H97" s="183"/>
      <c r="I97" s="340"/>
      <c r="J97" s="340"/>
      <c r="K97" s="183"/>
      <c r="L97" s="183"/>
    </row>
    <row r="98" spans="3:12" ht="11.25">
      <c r="C98" s="183"/>
      <c r="D98" s="183"/>
      <c r="E98" s="183"/>
      <c r="F98" s="183"/>
      <c r="G98" s="340"/>
      <c r="H98" s="183"/>
      <c r="I98" s="340"/>
      <c r="J98" s="340"/>
      <c r="K98" s="183"/>
      <c r="L98" s="183"/>
    </row>
    <row r="99" spans="3:12" ht="11.25">
      <c r="C99" s="183"/>
      <c r="D99" s="183"/>
      <c r="E99" s="183"/>
      <c r="F99" s="183"/>
      <c r="G99" s="340"/>
      <c r="H99" s="183"/>
      <c r="I99" s="340"/>
      <c r="J99" s="340"/>
      <c r="K99" s="183"/>
      <c r="L99" s="183"/>
    </row>
    <row r="100" spans="3:12" ht="11.25">
      <c r="C100" s="183"/>
      <c r="D100" s="183"/>
      <c r="E100" s="183"/>
      <c r="F100" s="183"/>
      <c r="G100" s="340"/>
      <c r="H100" s="183"/>
      <c r="I100" s="340"/>
      <c r="J100" s="340"/>
      <c r="K100" s="183"/>
      <c r="L100" s="183"/>
    </row>
    <row r="101" spans="3:12" ht="11.25">
      <c r="C101" s="183"/>
      <c r="D101" s="183"/>
      <c r="E101" s="183"/>
      <c r="F101" s="183"/>
      <c r="G101" s="340"/>
      <c r="H101" s="183"/>
      <c r="I101" s="340"/>
      <c r="J101" s="340"/>
      <c r="K101" s="183"/>
      <c r="L101" s="183"/>
    </row>
    <row r="102" spans="3:12" ht="11.25">
      <c r="C102" s="183"/>
      <c r="D102" s="183"/>
      <c r="E102" s="183"/>
      <c r="F102" s="183"/>
      <c r="G102" s="340"/>
      <c r="H102" s="183"/>
      <c r="I102" s="340"/>
      <c r="J102" s="340"/>
      <c r="K102" s="183"/>
      <c r="L102" s="183"/>
    </row>
    <row r="103" spans="3:12" ht="11.25">
      <c r="C103" s="183"/>
      <c r="D103" s="183"/>
      <c r="E103" s="183"/>
      <c r="F103" s="183"/>
      <c r="G103" s="340"/>
      <c r="H103" s="183"/>
      <c r="I103" s="340"/>
      <c r="J103" s="340"/>
      <c r="K103" s="183"/>
      <c r="L103" s="183"/>
    </row>
    <row r="104" spans="3:12" ht="11.25">
      <c r="C104" s="183"/>
      <c r="D104" s="183"/>
      <c r="E104" s="183"/>
      <c r="F104" s="183"/>
      <c r="G104" s="340"/>
      <c r="H104" s="183"/>
      <c r="I104" s="340"/>
      <c r="J104" s="340"/>
      <c r="K104" s="183"/>
      <c r="L104" s="183"/>
    </row>
    <row r="105" spans="3:12" ht="11.25">
      <c r="C105" s="183"/>
      <c r="D105" s="183"/>
      <c r="E105" s="183"/>
      <c r="F105" s="183"/>
      <c r="G105" s="340"/>
      <c r="H105" s="183"/>
      <c r="I105" s="340"/>
      <c r="J105" s="340"/>
      <c r="K105" s="183"/>
      <c r="L105" s="183"/>
    </row>
    <row r="106" spans="3:12" ht="11.25">
      <c r="C106" s="183"/>
      <c r="D106" s="183"/>
      <c r="E106" s="183"/>
      <c r="F106" s="183"/>
      <c r="G106" s="340"/>
      <c r="H106" s="183"/>
      <c r="I106" s="340"/>
      <c r="J106" s="340"/>
      <c r="K106" s="183"/>
      <c r="L106" s="183"/>
    </row>
    <row r="107" spans="3:12" ht="11.25">
      <c r="C107" s="183"/>
      <c r="D107" s="183"/>
      <c r="E107" s="183"/>
      <c r="F107" s="183"/>
      <c r="G107" s="340"/>
      <c r="H107" s="183"/>
      <c r="I107" s="340"/>
      <c r="J107" s="340"/>
      <c r="K107" s="183"/>
      <c r="L107" s="183"/>
    </row>
    <row r="108" spans="3:12" ht="11.25">
      <c r="C108" s="183"/>
      <c r="D108" s="183"/>
      <c r="E108" s="183"/>
      <c r="F108" s="183"/>
      <c r="G108" s="340"/>
      <c r="H108" s="183"/>
      <c r="I108" s="340"/>
      <c r="J108" s="340"/>
      <c r="K108" s="183"/>
      <c r="L108" s="183"/>
    </row>
    <row r="109" spans="3:12" ht="11.25">
      <c r="C109" s="183"/>
      <c r="D109" s="183"/>
      <c r="E109" s="183"/>
      <c r="F109" s="183"/>
      <c r="G109" s="340"/>
      <c r="H109" s="183"/>
      <c r="I109" s="340"/>
      <c r="J109" s="340"/>
      <c r="K109" s="183"/>
      <c r="L109" s="183"/>
    </row>
    <row r="110" spans="3:12" ht="11.25">
      <c r="C110" s="183"/>
      <c r="D110" s="183"/>
      <c r="E110" s="183"/>
      <c r="F110" s="183"/>
      <c r="G110" s="340"/>
      <c r="H110" s="183"/>
      <c r="I110" s="340"/>
      <c r="J110" s="340"/>
      <c r="K110" s="183"/>
      <c r="L110" s="183"/>
    </row>
    <row r="111" spans="3:12" ht="11.25">
      <c r="C111" s="183"/>
      <c r="D111" s="183"/>
      <c r="E111" s="183"/>
      <c r="F111" s="183"/>
      <c r="G111" s="340"/>
      <c r="H111" s="183"/>
      <c r="I111" s="340"/>
      <c r="J111" s="340"/>
      <c r="K111" s="183"/>
      <c r="L111" s="183"/>
    </row>
    <row r="112" spans="3:12" ht="11.25">
      <c r="C112" s="183"/>
      <c r="D112" s="183"/>
      <c r="E112" s="183"/>
      <c r="F112" s="183"/>
      <c r="G112" s="340"/>
      <c r="H112" s="183"/>
      <c r="I112" s="340"/>
      <c r="J112" s="340"/>
      <c r="K112" s="183"/>
      <c r="L112" s="183"/>
    </row>
    <row r="113" spans="3:12" ht="11.25">
      <c r="C113" s="183"/>
      <c r="D113" s="183"/>
      <c r="E113" s="183"/>
      <c r="F113" s="183"/>
      <c r="G113" s="340"/>
      <c r="H113" s="183"/>
      <c r="I113" s="340"/>
      <c r="J113" s="340"/>
      <c r="K113" s="183"/>
      <c r="L113" s="183"/>
    </row>
    <row r="114" spans="3:12" ht="11.25">
      <c r="C114" s="183"/>
      <c r="D114" s="183"/>
      <c r="E114" s="183"/>
      <c r="F114" s="183"/>
      <c r="G114" s="340"/>
      <c r="H114" s="183"/>
      <c r="I114" s="340"/>
      <c r="J114" s="340"/>
      <c r="K114" s="183"/>
      <c r="L114" s="183"/>
    </row>
  </sheetData>
  <sheetProtection objects="1"/>
  <mergeCells count="4">
    <mergeCell ref="C1:L1"/>
    <mergeCell ref="C2:L2"/>
    <mergeCell ref="C3:L3"/>
    <mergeCell ref="C4:L4"/>
  </mergeCells>
  <hyperlinks>
    <hyperlink ref="C35" location="'Reconciliation Non-GAAP'!Print_Area" display="(2) See page 23 Non-GAAP Financial Measures."/>
  </hyperlinks>
  <printOptions/>
  <pageMargins left="0.5" right="0.5" top="0.5" bottom="0.5" header="0.75" footer="0.25"/>
  <pageSetup horizontalDpi="600" verticalDpi="600" orientation="landscape" r:id="rId2"/>
  <headerFooter alignWithMargins="0">
    <oddFooter>&amp;L&amp;A&amp;R&amp;"Arial,Regular"&amp;8Page 3</oddFooter>
  </headerFooter>
  <drawing r:id="rId1"/>
</worksheet>
</file>

<file path=xl/worksheets/sheet6.xml><?xml version="1.0" encoding="utf-8"?>
<worksheet xmlns="http://schemas.openxmlformats.org/spreadsheetml/2006/main" xmlns:r="http://schemas.openxmlformats.org/officeDocument/2006/relationships">
  <sheetPr codeName="Sheet23">
    <pageSetUpPr fitToPage="1"/>
  </sheetPr>
  <dimension ref="B1:BW63"/>
  <sheetViews>
    <sheetView workbookViewId="0" topLeftCell="A1">
      <selection activeCell="A6" sqref="A6"/>
    </sheetView>
  </sheetViews>
  <sheetFormatPr defaultColWidth="9.33203125" defaultRowHeight="12.75"/>
  <cols>
    <col min="1" max="2" width="3.33203125" style="70" customWidth="1"/>
    <col min="3" max="3" width="45.66015625" style="70" customWidth="1"/>
    <col min="4" max="4" width="3.83203125" style="70" customWidth="1"/>
    <col min="5" max="5" width="12.83203125" style="70" customWidth="1"/>
    <col min="6" max="6" width="3.66015625" style="70" customWidth="1"/>
    <col min="7" max="7" width="12.83203125" style="70" customWidth="1"/>
    <col min="8" max="8" width="3.83203125" style="70" customWidth="1"/>
    <col min="9" max="9" width="12.83203125" style="70" customWidth="1"/>
    <col min="10" max="10" width="3.83203125" style="70" customWidth="1"/>
    <col min="11" max="11" width="12.83203125" style="70" customWidth="1"/>
    <col min="12" max="12" width="3.83203125" style="70" customWidth="1"/>
    <col min="13" max="13" width="12.83203125" style="70" customWidth="1"/>
    <col min="14" max="14" width="3.83203125" style="70" customWidth="1"/>
    <col min="15" max="15" width="14.83203125" style="70" customWidth="1"/>
    <col min="16" max="16" width="3.83203125" style="70" customWidth="1"/>
    <col min="17" max="17" width="14.83203125" style="70" customWidth="1"/>
    <col min="18" max="16384" width="10.66015625" style="70" customWidth="1"/>
  </cols>
  <sheetData>
    <row r="1" spans="2:24" ht="14.25" customHeight="1">
      <c r="B1" s="354"/>
      <c r="C1" s="621" t="s">
        <v>96</v>
      </c>
      <c r="D1" s="621"/>
      <c r="E1" s="621"/>
      <c r="F1" s="621"/>
      <c r="G1" s="621"/>
      <c r="H1" s="621"/>
      <c r="I1" s="621"/>
      <c r="J1" s="621"/>
      <c r="K1" s="621"/>
      <c r="L1" s="621"/>
      <c r="M1" s="621"/>
      <c r="N1" s="621"/>
      <c r="O1" s="621"/>
      <c r="P1" s="354"/>
      <c r="Q1" s="354"/>
      <c r="R1" s="354"/>
      <c r="S1" s="354"/>
      <c r="T1" s="354"/>
      <c r="U1" s="354"/>
      <c r="V1" s="354"/>
      <c r="W1" s="354"/>
      <c r="X1" s="354"/>
    </row>
    <row r="2" spans="3:17" ht="11.25" customHeight="1">
      <c r="C2" s="623" t="s">
        <v>168</v>
      </c>
      <c r="D2" s="623"/>
      <c r="E2" s="623"/>
      <c r="F2" s="623"/>
      <c r="G2" s="623"/>
      <c r="H2" s="623"/>
      <c r="I2" s="623"/>
      <c r="J2" s="623"/>
      <c r="K2" s="623"/>
      <c r="L2" s="623"/>
      <c r="M2" s="623"/>
      <c r="N2" s="623"/>
      <c r="O2" s="623"/>
      <c r="P2" s="566"/>
      <c r="Q2" s="566"/>
    </row>
    <row r="3" spans="3:17" ht="11.25" customHeight="1">
      <c r="C3" s="622" t="s">
        <v>263</v>
      </c>
      <c r="D3" s="622"/>
      <c r="E3" s="622"/>
      <c r="F3" s="622"/>
      <c r="G3" s="622"/>
      <c r="H3" s="622"/>
      <c r="I3" s="622"/>
      <c r="J3" s="622"/>
      <c r="K3" s="622"/>
      <c r="L3" s="622"/>
      <c r="M3" s="622"/>
      <c r="N3" s="622"/>
      <c r="O3" s="622"/>
      <c r="P3" s="565"/>
      <c r="Q3" s="565"/>
    </row>
    <row r="4" spans="3:16" ht="7.5" customHeight="1">
      <c r="C4" s="105"/>
      <c r="D4" s="105"/>
      <c r="E4" s="105"/>
      <c r="F4" s="105"/>
      <c r="G4" s="105"/>
      <c r="H4" s="105"/>
      <c r="I4" s="105"/>
      <c r="J4" s="105"/>
      <c r="K4" s="105"/>
      <c r="L4" s="105"/>
      <c r="M4" s="105"/>
      <c r="N4" s="105"/>
      <c r="O4" s="105"/>
      <c r="P4" s="105"/>
    </row>
    <row r="5" spans="3:17" ht="11.25" customHeight="1">
      <c r="C5" s="539"/>
      <c r="D5" s="539"/>
      <c r="E5" s="449">
        <v>39082</v>
      </c>
      <c r="F5" s="364"/>
      <c r="G5" s="624">
        <v>38990</v>
      </c>
      <c r="H5" s="624"/>
      <c r="I5" s="449">
        <v>38898</v>
      </c>
      <c r="J5" s="364"/>
      <c r="K5" s="449">
        <v>38807</v>
      </c>
      <c r="L5" s="364"/>
      <c r="M5" s="449">
        <v>38717</v>
      </c>
      <c r="N5" s="504"/>
      <c r="O5" s="504"/>
      <c r="P5" s="504"/>
      <c r="Q5" s="504"/>
    </row>
    <row r="6" spans="5:17" ht="12.75" customHeight="1">
      <c r="E6" s="167">
        <v>2006</v>
      </c>
      <c r="G6" s="167">
        <v>2006</v>
      </c>
      <c r="I6" s="167">
        <v>2006</v>
      </c>
      <c r="K6" s="167">
        <v>2006</v>
      </c>
      <c r="M6" s="167">
        <v>2005</v>
      </c>
      <c r="N6" s="167"/>
      <c r="O6" s="504"/>
      <c r="P6" s="504"/>
      <c r="Q6" s="167"/>
    </row>
    <row r="7" spans="5:17" ht="12.75" customHeight="1">
      <c r="E7" s="168" t="s">
        <v>170</v>
      </c>
      <c r="G7" s="168" t="s">
        <v>170</v>
      </c>
      <c r="I7" s="168" t="s">
        <v>170</v>
      </c>
      <c r="K7" s="168" t="s">
        <v>170</v>
      </c>
      <c r="M7" s="168" t="s">
        <v>359</v>
      </c>
      <c r="N7" s="337"/>
      <c r="O7" s="504"/>
      <c r="P7" s="504"/>
      <c r="Q7" s="337"/>
    </row>
    <row r="8" spans="3:17" ht="12.75" customHeight="1">
      <c r="C8" s="183" t="s">
        <v>142</v>
      </c>
      <c r="D8" s="183"/>
      <c r="E8" s="337"/>
      <c r="F8" s="183"/>
      <c r="G8" s="337"/>
      <c r="H8" s="183"/>
      <c r="I8" s="337"/>
      <c r="J8" s="183"/>
      <c r="K8" s="337"/>
      <c r="L8" s="183"/>
      <c r="M8" s="337"/>
      <c r="N8" s="337"/>
      <c r="O8" s="504"/>
      <c r="P8" s="504"/>
      <c r="Q8" s="124"/>
    </row>
    <row r="9" spans="3:74" ht="12.75" customHeight="1">
      <c r="C9" s="78" t="s">
        <v>80</v>
      </c>
      <c r="D9" s="78"/>
      <c r="E9" s="106">
        <v>28540</v>
      </c>
      <c r="F9" s="78"/>
      <c r="G9" s="106">
        <v>27069</v>
      </c>
      <c r="H9" s="78"/>
      <c r="I9" s="106">
        <v>25962</v>
      </c>
      <c r="J9" s="78"/>
      <c r="K9" s="106">
        <v>25411</v>
      </c>
      <c r="L9" s="78"/>
      <c r="M9" s="106">
        <v>24285</v>
      </c>
      <c r="N9" s="108"/>
      <c r="O9" s="504"/>
      <c r="P9" s="504"/>
      <c r="Q9" s="108"/>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row>
    <row r="10" spans="3:74" ht="12.75" customHeight="1">
      <c r="C10" s="78" t="s">
        <v>289</v>
      </c>
      <c r="D10" s="78"/>
      <c r="E10" s="338">
        <v>3047</v>
      </c>
      <c r="F10" s="78"/>
      <c r="G10" s="338">
        <v>3081</v>
      </c>
      <c r="H10" s="78"/>
      <c r="I10" s="338">
        <v>3141</v>
      </c>
      <c r="J10" s="78"/>
      <c r="K10" s="338">
        <v>3107</v>
      </c>
      <c r="L10" s="78"/>
      <c r="M10" s="42">
        <v>3076</v>
      </c>
      <c r="N10" s="87"/>
      <c r="O10" s="504"/>
      <c r="P10" s="504"/>
      <c r="Q10" s="505"/>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row>
    <row r="11" spans="3:75" ht="12.75" customHeight="1">
      <c r="C11" s="1" t="s">
        <v>81</v>
      </c>
      <c r="D11" s="1"/>
      <c r="E11" s="338">
        <v>1713</v>
      </c>
      <c r="F11" s="1"/>
      <c r="G11" s="338">
        <v>1553</v>
      </c>
      <c r="H11" s="1"/>
      <c r="I11" s="338">
        <v>1416</v>
      </c>
      <c r="J11" s="1"/>
      <c r="K11" s="338">
        <v>1600</v>
      </c>
      <c r="L11" s="1"/>
      <c r="M11" s="42">
        <v>1507</v>
      </c>
      <c r="N11" s="87"/>
      <c r="O11" s="504"/>
      <c r="P11" s="504"/>
      <c r="Q11" s="87"/>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row>
    <row r="12" spans="3:75" ht="12.75" customHeight="1">
      <c r="C12" s="78" t="s">
        <v>361</v>
      </c>
      <c r="D12" s="78"/>
      <c r="E12" s="338">
        <v>2456</v>
      </c>
      <c r="F12" s="78"/>
      <c r="G12" s="338">
        <v>3009</v>
      </c>
      <c r="H12" s="78"/>
      <c r="I12" s="338">
        <v>3125</v>
      </c>
      <c r="J12" s="78"/>
      <c r="K12" s="338">
        <v>2452</v>
      </c>
      <c r="L12" s="78"/>
      <c r="M12" s="42">
        <v>2299</v>
      </c>
      <c r="N12" s="87"/>
      <c r="O12" s="87"/>
      <c r="P12" s="433"/>
      <c r="Q12" s="87"/>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row>
    <row r="13" spans="3:75" ht="12.75" customHeight="1">
      <c r="C13" s="1" t="s">
        <v>210</v>
      </c>
      <c r="D13" s="1"/>
      <c r="E13" s="338">
        <v>845</v>
      </c>
      <c r="F13" s="1"/>
      <c r="G13" s="338">
        <v>817</v>
      </c>
      <c r="H13" s="1"/>
      <c r="I13" s="338">
        <v>719</v>
      </c>
      <c r="J13" s="1"/>
      <c r="K13" s="338">
        <v>687</v>
      </c>
      <c r="L13" s="1"/>
      <c r="M13" s="42">
        <v>675</v>
      </c>
      <c r="N13" s="87"/>
      <c r="O13"/>
      <c r="P13" s="77"/>
      <c r="Q13" s="87"/>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row>
    <row r="14" spans="3:75" ht="12.75" customHeight="1">
      <c r="C14" s="1" t="s">
        <v>264</v>
      </c>
      <c r="D14" s="1"/>
      <c r="E14" s="429">
        <f>SUM(E9:E13)</f>
        <v>36601</v>
      </c>
      <c r="F14" s="1"/>
      <c r="G14" s="429">
        <f>SUM(G9:G13)</f>
        <v>35529</v>
      </c>
      <c r="H14" s="1"/>
      <c r="I14" s="429">
        <f>SUM(I9:I13)</f>
        <v>34363</v>
      </c>
      <c r="J14" s="1"/>
      <c r="K14" s="429">
        <f>SUM(K9:K13)</f>
        <v>33257</v>
      </c>
      <c r="L14" s="1"/>
      <c r="M14" s="429">
        <f>SUM(M9:M13)</f>
        <v>31842</v>
      </c>
      <c r="N14" s="338"/>
      <c r="O14"/>
      <c r="P14" s="77"/>
      <c r="Q14" s="338"/>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row>
    <row r="15" spans="3:75" ht="4.5" customHeight="1">
      <c r="C15" s="1"/>
      <c r="D15" s="1"/>
      <c r="E15" s="44"/>
      <c r="F15" s="1"/>
      <c r="G15" s="44"/>
      <c r="H15" s="1"/>
      <c r="I15" s="44"/>
      <c r="J15" s="1"/>
      <c r="K15" s="44"/>
      <c r="L15" s="1"/>
      <c r="M15" s="44"/>
      <c r="N15" s="77"/>
      <c r="O15"/>
      <c r="P15" s="77"/>
      <c r="Q15" s="108"/>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row>
    <row r="16" spans="3:75" ht="12.75" customHeight="1">
      <c r="C16" s="1" t="s">
        <v>104</v>
      </c>
      <c r="D16" s="1"/>
      <c r="E16" s="338">
        <v>565</v>
      </c>
      <c r="F16" s="1"/>
      <c r="G16" s="338">
        <v>544</v>
      </c>
      <c r="H16" s="1"/>
      <c r="I16" s="338">
        <v>552</v>
      </c>
      <c r="J16" s="1"/>
      <c r="K16" s="338">
        <v>398</v>
      </c>
      <c r="L16" s="1"/>
      <c r="M16" s="42">
        <v>512</v>
      </c>
      <c r="N16" s="87"/>
      <c r="O16"/>
      <c r="P16" s="77"/>
      <c r="Q16" s="87"/>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row>
    <row r="17" spans="3:75" ht="12.75" customHeight="1">
      <c r="C17" s="1" t="s">
        <v>164</v>
      </c>
      <c r="D17" s="1"/>
      <c r="E17" s="338">
        <v>2171</v>
      </c>
      <c r="F17" s="1"/>
      <c r="G17" s="338">
        <v>2034</v>
      </c>
      <c r="H17" s="1"/>
      <c r="I17" s="338">
        <v>1285</v>
      </c>
      <c r="J17" s="1"/>
      <c r="K17" s="338">
        <v>1782</v>
      </c>
      <c r="L17" s="1"/>
      <c r="M17" s="42">
        <v>1723</v>
      </c>
      <c r="N17" s="87"/>
      <c r="O17"/>
      <c r="P17" s="77"/>
      <c r="Q17" s="87"/>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row>
    <row r="18" spans="3:75" ht="12.75" customHeight="1">
      <c r="C18" s="1" t="s">
        <v>105</v>
      </c>
      <c r="D18" s="1"/>
      <c r="E18" s="338">
        <v>3580</v>
      </c>
      <c r="F18" s="1"/>
      <c r="G18" s="338">
        <v>3733</v>
      </c>
      <c r="H18" s="1"/>
      <c r="I18" s="338">
        <v>3941</v>
      </c>
      <c r="J18" s="1"/>
      <c r="K18" s="338">
        <v>3742</v>
      </c>
      <c r="L18" s="1"/>
      <c r="M18" s="42">
        <v>3343</v>
      </c>
      <c r="N18" s="87"/>
      <c r="O18"/>
      <c r="P18" s="77"/>
      <c r="Q18" s="87"/>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row>
    <row r="19" spans="3:75" ht="12.75" customHeight="1">
      <c r="C19" s="1" t="s">
        <v>106</v>
      </c>
      <c r="D19" s="1"/>
      <c r="E19" s="338">
        <v>14580</v>
      </c>
      <c r="F19" s="1"/>
      <c r="G19" s="338">
        <v>14729</v>
      </c>
      <c r="H19" s="1"/>
      <c r="I19" s="338">
        <v>15270</v>
      </c>
      <c r="J19" s="1"/>
      <c r="K19" s="338">
        <v>15569</v>
      </c>
      <c r="L19" s="1"/>
      <c r="M19" s="42">
        <v>15463</v>
      </c>
      <c r="N19" s="87"/>
      <c r="O19"/>
      <c r="P19" s="77"/>
      <c r="Q19" s="87"/>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row>
    <row r="20" spans="3:75" ht="12.75" customHeight="1">
      <c r="C20" s="1" t="s">
        <v>107</v>
      </c>
      <c r="D20" s="1"/>
      <c r="E20" s="338">
        <v>1077</v>
      </c>
      <c r="F20" s="1"/>
      <c r="G20" s="338">
        <v>1081</v>
      </c>
      <c r="H20" s="1"/>
      <c r="I20" s="338">
        <v>1090</v>
      </c>
      <c r="J20" s="1"/>
      <c r="K20" s="338">
        <v>1032</v>
      </c>
      <c r="L20" s="1"/>
      <c r="M20" s="42">
        <v>930</v>
      </c>
      <c r="N20" s="87"/>
      <c r="O20"/>
      <c r="P20" s="77"/>
      <c r="Q20" s="87"/>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row>
    <row r="21" spans="3:75" ht="12.75" customHeight="1">
      <c r="C21" s="1" t="s">
        <v>108</v>
      </c>
      <c r="D21" s="1"/>
      <c r="E21" s="338">
        <v>1586</v>
      </c>
      <c r="F21" s="1"/>
      <c r="G21" s="338">
        <v>1686</v>
      </c>
      <c r="H21" s="1"/>
      <c r="I21" s="338">
        <v>1708</v>
      </c>
      <c r="J21" s="1"/>
      <c r="K21" s="338">
        <v>1505</v>
      </c>
      <c r="L21" s="1"/>
      <c r="M21" s="42">
        <v>1346</v>
      </c>
      <c r="N21" s="87"/>
      <c r="O21"/>
      <c r="P21" s="77"/>
      <c r="Q21" s="87"/>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row>
    <row r="22" spans="3:75" ht="12.75" customHeight="1">
      <c r="C22" s="1" t="s">
        <v>109</v>
      </c>
      <c r="D22" s="1"/>
      <c r="E22" s="338">
        <v>2731</v>
      </c>
      <c r="F22" s="1"/>
      <c r="G22" s="338">
        <v>2655</v>
      </c>
      <c r="H22" s="1"/>
      <c r="I22" s="338">
        <v>2703</v>
      </c>
      <c r="J22" s="1"/>
      <c r="K22" s="338">
        <v>2703</v>
      </c>
      <c r="L22" s="1"/>
      <c r="M22" s="42">
        <v>2703</v>
      </c>
      <c r="N22" s="87"/>
      <c r="O22"/>
      <c r="P22" s="77"/>
      <c r="Q22" s="87"/>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row>
    <row r="23" spans="3:75" ht="12.75" customHeight="1">
      <c r="C23" s="1" t="s">
        <v>110</v>
      </c>
      <c r="D23" s="1"/>
      <c r="E23" s="338">
        <v>1165</v>
      </c>
      <c r="F23" s="1"/>
      <c r="G23" s="338">
        <v>1164</v>
      </c>
      <c r="H23" s="1"/>
      <c r="I23" s="338">
        <v>1243</v>
      </c>
      <c r="J23" s="1"/>
      <c r="K23" s="338">
        <v>1271</v>
      </c>
      <c r="L23" s="1"/>
      <c r="M23" s="42">
        <v>1314</v>
      </c>
      <c r="N23" s="87"/>
      <c r="O23"/>
      <c r="P23" s="77"/>
      <c r="Q23" s="87"/>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row>
    <row r="24" spans="3:75" ht="12.75" customHeight="1">
      <c r="C24" s="1" t="s">
        <v>286</v>
      </c>
      <c r="D24" s="1"/>
      <c r="E24" s="338">
        <v>789</v>
      </c>
      <c r="F24" s="1"/>
      <c r="G24" s="338">
        <v>917</v>
      </c>
      <c r="H24" s="1"/>
      <c r="I24" s="338">
        <v>894</v>
      </c>
      <c r="J24" s="1"/>
      <c r="K24" s="338">
        <v>885</v>
      </c>
      <c r="L24" s="1"/>
      <c r="M24" s="42">
        <v>876</v>
      </c>
      <c r="N24" s="87"/>
      <c r="O24"/>
      <c r="P24" s="77"/>
      <c r="Q24" s="87"/>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row>
    <row r="25" spans="3:75" ht="12.75" customHeight="1">
      <c r="C25" s="1" t="s">
        <v>111</v>
      </c>
      <c r="D25" s="1"/>
      <c r="E25" s="338">
        <v>2290</v>
      </c>
      <c r="F25" s="1"/>
      <c r="G25" s="338">
        <v>2361</v>
      </c>
      <c r="H25" s="1"/>
      <c r="I25" s="338">
        <v>2341</v>
      </c>
      <c r="J25" s="1"/>
      <c r="K25" s="338">
        <v>2703</v>
      </c>
      <c r="L25" s="1"/>
      <c r="M25" s="42">
        <v>2388</v>
      </c>
      <c r="N25" s="87"/>
      <c r="O25"/>
      <c r="P25" s="77"/>
      <c r="Q25" s="87"/>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row>
    <row r="26" spans="3:75" ht="12.75" customHeight="1" thickBot="1">
      <c r="C26" s="1" t="s">
        <v>181</v>
      </c>
      <c r="D26" s="1"/>
      <c r="E26" s="430">
        <f>SUM(E14:E25)</f>
        <v>67135</v>
      </c>
      <c r="F26" s="1"/>
      <c r="G26" s="430">
        <f>SUM(G14:G25)</f>
        <v>66433</v>
      </c>
      <c r="H26" s="1"/>
      <c r="I26" s="430">
        <f>SUM(I14:I25)</f>
        <v>65390</v>
      </c>
      <c r="J26" s="1"/>
      <c r="K26" s="430">
        <f>SUM(K14:K25)</f>
        <v>64847</v>
      </c>
      <c r="L26" s="1"/>
      <c r="M26" s="430">
        <f>SUM(M14:M25)</f>
        <v>62440</v>
      </c>
      <c r="N26" s="108"/>
      <c r="O26"/>
      <c r="P26" s="77"/>
      <c r="Q26" s="108"/>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row>
    <row r="27" spans="3:75" ht="4.5" customHeight="1" thickTop="1">
      <c r="C27" s="1"/>
      <c r="D27" s="1"/>
      <c r="E27" s="44"/>
      <c r="F27" s="1"/>
      <c r="G27" s="44"/>
      <c r="H27" s="1"/>
      <c r="I27" s="44"/>
      <c r="J27" s="1"/>
      <c r="K27" s="44"/>
      <c r="L27" s="1"/>
      <c r="M27" s="44"/>
      <c r="N27" s="77"/>
      <c r="O27"/>
      <c r="P27" s="77"/>
      <c r="Q27" s="108"/>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row>
    <row r="28" spans="3:75" ht="12.75" customHeight="1">
      <c r="C28" s="183" t="s">
        <v>143</v>
      </c>
      <c r="D28" s="183"/>
      <c r="E28" s="431"/>
      <c r="F28" s="183"/>
      <c r="G28" s="431"/>
      <c r="H28" s="183"/>
      <c r="I28" s="431"/>
      <c r="J28" s="183"/>
      <c r="K28" s="431"/>
      <c r="L28" s="183"/>
      <c r="M28" s="431"/>
      <c r="N28" s="432"/>
      <c r="O28"/>
      <c r="P28" s="432"/>
      <c r="Q28" s="506"/>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row>
    <row r="29" spans="3:75" ht="12.75" customHeight="1">
      <c r="C29" s="1" t="s">
        <v>112</v>
      </c>
      <c r="D29" s="1"/>
      <c r="E29" s="106">
        <v>35517</v>
      </c>
      <c r="F29" s="1"/>
      <c r="G29" s="106">
        <v>35149</v>
      </c>
      <c r="H29" s="1"/>
      <c r="I29" s="106">
        <v>35564</v>
      </c>
      <c r="J29" s="1"/>
      <c r="K29" s="106">
        <v>35508</v>
      </c>
      <c r="L29" s="1"/>
      <c r="M29" s="106">
        <v>35055</v>
      </c>
      <c r="N29" s="108"/>
      <c r="O29"/>
      <c r="P29" s="77"/>
      <c r="Q29" s="108"/>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row>
    <row r="30" spans="3:75" ht="12.75" customHeight="1">
      <c r="C30" s="1" t="s">
        <v>113</v>
      </c>
      <c r="D30" s="1"/>
      <c r="E30" s="338">
        <v>6437</v>
      </c>
      <c r="F30" s="1"/>
      <c r="G30" s="338">
        <v>6676</v>
      </c>
      <c r="H30" s="1"/>
      <c r="I30" s="338">
        <v>6963</v>
      </c>
      <c r="J30" s="1"/>
      <c r="K30" s="338">
        <v>6554</v>
      </c>
      <c r="L30" s="1"/>
      <c r="M30" s="42">
        <v>5884</v>
      </c>
      <c r="N30" s="87"/>
      <c r="O30"/>
      <c r="P30" s="77"/>
      <c r="Q30" s="87"/>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row>
    <row r="31" spans="3:75" ht="12.75" customHeight="1">
      <c r="C31" s="1" t="s">
        <v>114</v>
      </c>
      <c r="D31" s="1"/>
      <c r="E31" s="338">
        <v>518</v>
      </c>
      <c r="F31" s="1"/>
      <c r="G31" s="338">
        <v>516</v>
      </c>
      <c r="H31" s="1"/>
      <c r="I31" s="338">
        <v>521</v>
      </c>
      <c r="J31" s="1"/>
      <c r="K31" s="338">
        <v>519</v>
      </c>
      <c r="L31" s="1"/>
      <c r="M31" s="42">
        <v>521</v>
      </c>
      <c r="N31" s="87"/>
      <c r="O31"/>
      <c r="P31" s="77"/>
      <c r="Q31" s="87"/>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row>
    <row r="32" spans="3:75" ht="12.75" customHeight="1">
      <c r="C32" s="1" t="s">
        <v>115</v>
      </c>
      <c r="D32" s="1"/>
      <c r="E32" s="338">
        <v>2449</v>
      </c>
      <c r="F32" s="1"/>
      <c r="G32" s="338">
        <v>2467</v>
      </c>
      <c r="H32" s="1"/>
      <c r="I32" s="338">
        <v>2484</v>
      </c>
      <c r="J32" s="1"/>
      <c r="K32" s="338">
        <v>2346</v>
      </c>
      <c r="L32" s="1"/>
      <c r="M32" s="42">
        <v>2405</v>
      </c>
      <c r="N32" s="87"/>
      <c r="O32"/>
      <c r="P32" s="77"/>
      <c r="Q32" s="87"/>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row>
    <row r="33" spans="3:75" ht="12.75" customHeight="1">
      <c r="C33" s="1" t="s">
        <v>235</v>
      </c>
      <c r="D33" s="1"/>
      <c r="E33" s="338">
        <v>335</v>
      </c>
      <c r="F33" s="1"/>
      <c r="G33" s="338">
        <v>346</v>
      </c>
      <c r="H33" s="1"/>
      <c r="I33" s="338">
        <v>348</v>
      </c>
      <c r="J33" s="1"/>
      <c r="K33" s="338">
        <v>318</v>
      </c>
      <c r="L33" s="1"/>
      <c r="M33" s="42">
        <v>350</v>
      </c>
      <c r="N33" s="87"/>
      <c r="O33"/>
      <c r="P33" s="77"/>
      <c r="Q33" s="87"/>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row>
    <row r="34" spans="3:75" ht="12.75" customHeight="1">
      <c r="C34" s="1" t="s">
        <v>288</v>
      </c>
      <c r="D34" s="1"/>
      <c r="E34" s="338">
        <v>2171</v>
      </c>
      <c r="F34" s="1"/>
      <c r="G34" s="338">
        <v>2034</v>
      </c>
      <c r="H34" s="1"/>
      <c r="I34" s="338">
        <v>1285</v>
      </c>
      <c r="J34" s="1"/>
      <c r="K34" s="338">
        <v>1782</v>
      </c>
      <c r="L34" s="1"/>
      <c r="M34" s="42">
        <v>1723</v>
      </c>
      <c r="N34" s="87"/>
      <c r="O34"/>
      <c r="P34" s="77"/>
      <c r="Q34" s="87"/>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row>
    <row r="35" spans="3:75" ht="12.75" customHeight="1">
      <c r="C35" s="1" t="s">
        <v>360</v>
      </c>
      <c r="D35" s="1"/>
      <c r="E35" s="338">
        <v>1286</v>
      </c>
      <c r="F35" s="1"/>
      <c r="G35" s="338">
        <v>1461</v>
      </c>
      <c r="H35" s="1"/>
      <c r="I35" s="338">
        <v>1466</v>
      </c>
      <c r="J35" s="1"/>
      <c r="K35" s="338">
        <v>1588</v>
      </c>
      <c r="L35" s="1"/>
      <c r="M35" s="42">
        <v>701</v>
      </c>
      <c r="N35" s="87"/>
      <c r="O35"/>
      <c r="P35" s="77"/>
      <c r="Q35" s="87"/>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row>
    <row r="36" spans="3:75" ht="12.75" customHeight="1">
      <c r="C36" s="1" t="s">
        <v>116</v>
      </c>
      <c r="D36" s="576"/>
      <c r="E36" s="338">
        <v>1541</v>
      </c>
      <c r="F36" s="1"/>
      <c r="G36" s="338">
        <v>1666</v>
      </c>
      <c r="H36" s="1"/>
      <c r="I36" s="338">
        <v>1426</v>
      </c>
      <c r="J36" s="1"/>
      <c r="K36" s="338">
        <v>1475</v>
      </c>
      <c r="L36" s="1"/>
      <c r="M36" s="42">
        <f>1569-174</f>
        <v>1395</v>
      </c>
      <c r="N36" s="87"/>
      <c r="O36"/>
      <c r="P36" s="77"/>
      <c r="Q36" s="87"/>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row>
    <row r="37" spans="3:75" ht="12.75" customHeight="1">
      <c r="C37" s="1" t="s">
        <v>413</v>
      </c>
      <c r="D37" s="1"/>
      <c r="E37" s="338">
        <v>156</v>
      </c>
      <c r="F37" s="1"/>
      <c r="G37" s="338">
        <v>166</v>
      </c>
      <c r="H37" s="1"/>
      <c r="I37" s="338">
        <v>138</v>
      </c>
      <c r="J37" s="1"/>
      <c r="K37" s="338">
        <v>179</v>
      </c>
      <c r="L37" s="1"/>
      <c r="M37" s="42">
        <v>174</v>
      </c>
      <c r="N37" s="87"/>
      <c r="O37"/>
      <c r="P37" s="77"/>
      <c r="Q37" s="87"/>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row>
    <row r="38" spans="3:75" ht="12.75" customHeight="1">
      <c r="C38" s="1" t="s">
        <v>117</v>
      </c>
      <c r="D38" s="1"/>
      <c r="E38" s="338">
        <v>578</v>
      </c>
      <c r="F38" s="1"/>
      <c r="G38" s="338">
        <v>500</v>
      </c>
      <c r="H38" s="1"/>
      <c r="I38" s="338">
        <v>800</v>
      </c>
      <c r="J38" s="1"/>
      <c r="K38" s="338">
        <v>300</v>
      </c>
      <c r="L38" s="1"/>
      <c r="M38" s="42">
        <v>300</v>
      </c>
      <c r="N38" s="87"/>
      <c r="O38" s="87"/>
      <c r="P38" s="77"/>
      <c r="Q38" s="87"/>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row>
    <row r="39" spans="3:75" ht="12.75" customHeight="1">
      <c r="C39" s="1" t="s">
        <v>118</v>
      </c>
      <c r="D39" s="1"/>
      <c r="E39" s="338">
        <v>1560</v>
      </c>
      <c r="F39" s="1"/>
      <c r="G39" s="338">
        <v>1632</v>
      </c>
      <c r="H39" s="1"/>
      <c r="I39" s="338">
        <v>1620</v>
      </c>
      <c r="J39" s="1"/>
      <c r="K39" s="338">
        <v>1812</v>
      </c>
      <c r="L39" s="1"/>
      <c r="M39" s="42">
        <v>1811</v>
      </c>
      <c r="N39" s="87"/>
      <c r="O39" s="87"/>
      <c r="P39" s="77"/>
      <c r="Q39" s="87"/>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row>
    <row r="40" spans="3:75" ht="12.75" customHeight="1">
      <c r="C40" s="1" t="s">
        <v>119</v>
      </c>
      <c r="D40" s="1"/>
      <c r="E40" s="338">
        <v>309</v>
      </c>
      <c r="F40" s="1"/>
      <c r="G40" s="338">
        <v>309</v>
      </c>
      <c r="H40" s="1"/>
      <c r="I40" s="338">
        <v>309</v>
      </c>
      <c r="J40" s="1"/>
      <c r="K40" s="338">
        <v>309</v>
      </c>
      <c r="L40" s="1"/>
      <c r="M40" s="42">
        <v>309</v>
      </c>
      <c r="N40" s="87"/>
      <c r="O40" s="87"/>
      <c r="P40" s="77"/>
      <c r="Q40" s="87"/>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row>
    <row r="41" spans="3:75" ht="12.75" customHeight="1">
      <c r="C41" s="1" t="s">
        <v>120</v>
      </c>
      <c r="D41" s="1"/>
      <c r="E41" s="429">
        <f>SUM(E29:E40)</f>
        <v>52857</v>
      </c>
      <c r="F41" s="1"/>
      <c r="G41" s="429">
        <f>SUM(G29:G40)</f>
        <v>52922</v>
      </c>
      <c r="H41" s="1"/>
      <c r="I41" s="429">
        <f>SUM(I29:I40)</f>
        <v>52924</v>
      </c>
      <c r="J41" s="1"/>
      <c r="K41" s="429">
        <f>SUM(K29:K40)</f>
        <v>52690</v>
      </c>
      <c r="L41" s="1"/>
      <c r="M41" s="429">
        <f>SUM(M29:M40)</f>
        <v>50628</v>
      </c>
      <c r="N41" s="338"/>
      <c r="O41" s="338"/>
      <c r="P41" s="77"/>
      <c r="Q41" s="338"/>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row>
    <row r="42" spans="3:75" ht="4.5" customHeight="1">
      <c r="C42" s="1"/>
      <c r="D42" s="1"/>
      <c r="E42" s="77"/>
      <c r="F42" s="1"/>
      <c r="G42" s="77"/>
      <c r="H42" s="1"/>
      <c r="I42" s="77"/>
      <c r="J42" s="1"/>
      <c r="K42" s="77"/>
      <c r="L42" s="1"/>
      <c r="M42" s="77"/>
      <c r="N42" s="77"/>
      <c r="O42" s="77"/>
      <c r="P42" s="77"/>
      <c r="Q42" s="107"/>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row>
    <row r="43" spans="3:75" ht="12.75" customHeight="1">
      <c r="C43" s="183" t="s">
        <v>121</v>
      </c>
      <c r="D43" s="183"/>
      <c r="E43" s="431"/>
      <c r="F43" s="183"/>
      <c r="G43" s="431"/>
      <c r="H43" s="183"/>
      <c r="I43" s="431"/>
      <c r="J43" s="183"/>
      <c r="K43" s="431"/>
      <c r="L43" s="183"/>
      <c r="M43" s="431"/>
      <c r="N43" s="432"/>
      <c r="O43" s="432"/>
      <c r="P43" s="432"/>
      <c r="Q43" s="506"/>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row>
    <row r="44" spans="3:75" ht="12.75" customHeight="1">
      <c r="C44" s="78" t="s">
        <v>47</v>
      </c>
      <c r="D44" s="78"/>
      <c r="E44" s="338">
        <f>14278-E45</f>
        <v>13562</v>
      </c>
      <c r="F44" s="78"/>
      <c r="G44" s="338">
        <f>13511-G45</f>
        <v>12943</v>
      </c>
      <c r="H44" s="78"/>
      <c r="I44" s="338">
        <f>12466-I45</f>
        <v>12414</v>
      </c>
      <c r="J44" s="78"/>
      <c r="K44" s="338">
        <f>12157-K45</f>
        <v>11907</v>
      </c>
      <c r="L44" s="78"/>
      <c r="M44" s="42">
        <f>11812-M45</f>
        <v>11480</v>
      </c>
      <c r="N44" s="87"/>
      <c r="O44" s="87"/>
      <c r="P44" s="433"/>
      <c r="Q44" s="87"/>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row>
    <row r="45" spans="3:17" ht="12.75" customHeight="1">
      <c r="C45" s="1" t="s">
        <v>57</v>
      </c>
      <c r="D45" s="1"/>
      <c r="E45" s="338">
        <v>716</v>
      </c>
      <c r="F45" s="1"/>
      <c r="G45" s="338">
        <v>568</v>
      </c>
      <c r="H45" s="1"/>
      <c r="I45" s="338">
        <v>52</v>
      </c>
      <c r="J45" s="1"/>
      <c r="K45" s="338">
        <v>250</v>
      </c>
      <c r="L45" s="1"/>
      <c r="M45" s="42">
        <v>332</v>
      </c>
      <c r="N45" s="87"/>
      <c r="O45" s="87"/>
      <c r="P45" s="77"/>
      <c r="Q45" s="87"/>
    </row>
    <row r="46" spans="3:17" ht="12.75" customHeight="1">
      <c r="C46" s="1" t="s">
        <v>48</v>
      </c>
      <c r="D46" s="1"/>
      <c r="E46" s="434">
        <f>SUM(E44:E45)</f>
        <v>14278</v>
      </c>
      <c r="F46" s="1"/>
      <c r="G46" s="434">
        <f>SUM(G44:G45)</f>
        <v>13511</v>
      </c>
      <c r="H46" s="1"/>
      <c r="I46" s="434">
        <f>SUM(I44:I45)</f>
        <v>12466</v>
      </c>
      <c r="J46" s="1"/>
      <c r="K46" s="434">
        <f>SUM(K44:K45)</f>
        <v>12157</v>
      </c>
      <c r="L46" s="1"/>
      <c r="M46" s="434">
        <f>SUM(M44:M45)</f>
        <v>11812</v>
      </c>
      <c r="N46" s="338"/>
      <c r="O46" s="338"/>
      <c r="P46" s="77"/>
      <c r="Q46" s="338"/>
    </row>
    <row r="47" spans="3:17" ht="12.75" customHeight="1" thickBot="1">
      <c r="C47" s="1" t="s">
        <v>76</v>
      </c>
      <c r="D47" s="1"/>
      <c r="E47" s="430">
        <f>E41+E46</f>
        <v>67135</v>
      </c>
      <c r="F47" s="1"/>
      <c r="G47" s="430">
        <f>G41+G46</f>
        <v>66433</v>
      </c>
      <c r="H47" s="1"/>
      <c r="I47" s="430">
        <f>I41+I46</f>
        <v>65390</v>
      </c>
      <c r="J47" s="1"/>
      <c r="K47" s="430">
        <f>K41+K46</f>
        <v>64847</v>
      </c>
      <c r="L47" s="1"/>
      <c r="M47" s="430">
        <f>M41+M46</f>
        <v>62440</v>
      </c>
      <c r="N47" s="108"/>
      <c r="O47" s="108"/>
      <c r="P47" s="77"/>
      <c r="Q47" s="108"/>
    </row>
    <row r="48" spans="3:17" ht="4.5" customHeight="1" thickTop="1">
      <c r="C48" s="1"/>
      <c r="D48" s="1"/>
      <c r="E48" s="44"/>
      <c r="F48" s="1"/>
      <c r="G48" s="44"/>
      <c r="H48" s="1"/>
      <c r="I48" s="44"/>
      <c r="J48" s="1"/>
      <c r="K48" s="44"/>
      <c r="L48" s="1"/>
      <c r="M48" s="44"/>
      <c r="N48" s="77"/>
      <c r="O48" s="77"/>
      <c r="P48" s="77"/>
      <c r="Q48" s="496"/>
    </row>
    <row r="49" spans="3:17" ht="12.75" customHeight="1">
      <c r="C49" s="227" t="s">
        <v>340</v>
      </c>
      <c r="D49" s="227"/>
      <c r="E49" s="110">
        <f>+'Reconciliation Book Value'!E21</f>
        <v>42.03023488643174</v>
      </c>
      <c r="F49" s="227"/>
      <c r="G49" s="110">
        <f>+'Reconciliation Book Value'!G21</f>
        <v>39.74149412837985</v>
      </c>
      <c r="H49" s="227"/>
      <c r="I49" s="110">
        <f>+'Reconciliation Book Value'!I21</f>
        <v>36.60124102886571</v>
      </c>
      <c r="J49" s="227"/>
      <c r="K49" s="110">
        <f>+'Reconciliation Book Value'!K21</f>
        <v>35.67660340036168</v>
      </c>
      <c r="L49" s="227"/>
      <c r="M49" s="110">
        <f>+'Reconciliation Book Value'!M21</f>
        <v>34.81043542067921</v>
      </c>
      <c r="N49" s="507"/>
      <c r="O49" s="507"/>
      <c r="P49" s="435"/>
      <c r="Q49" s="507"/>
    </row>
    <row r="50" spans="3:17" ht="12.75" customHeight="1">
      <c r="C50" s="227" t="s">
        <v>341</v>
      </c>
      <c r="D50" s="227"/>
      <c r="E50" s="110">
        <f>+'Reconciliation Book Value'!E22</f>
        <v>33.664622214261705</v>
      </c>
      <c r="F50" s="227"/>
      <c r="G50" s="110">
        <f>+'Reconciliation Book Value'!G22</f>
        <v>31.596236531433075</v>
      </c>
      <c r="H50" s="227"/>
      <c r="I50" s="110">
        <f>+'Reconciliation Book Value'!I22</f>
        <v>28.293813494981755</v>
      </c>
      <c r="J50" s="227"/>
      <c r="K50" s="110">
        <f>+'Reconciliation Book Value'!K22</f>
        <v>27.373339694225677</v>
      </c>
      <c r="L50" s="227"/>
      <c r="M50" s="110">
        <f>+'Reconciliation Book Value'!M22</f>
        <v>26.45036372435794</v>
      </c>
      <c r="N50" s="507"/>
      <c r="O50" s="507"/>
      <c r="P50" s="435"/>
      <c r="Q50" s="507"/>
    </row>
    <row r="51" spans="12:17" ht="6.75" customHeight="1">
      <c r="L51" s="83"/>
      <c r="P51" s="83"/>
      <c r="Q51" s="109"/>
    </row>
    <row r="52" spans="3:17" ht="12.75" customHeight="1">
      <c r="C52" s="571" t="str">
        <f>+'Financial Highlights'!C48</f>
        <v>(1) See page 25 Non-GAAP Financial Measures.</v>
      </c>
      <c r="D52" s="571"/>
      <c r="E52" s="489"/>
      <c r="F52" s="362"/>
      <c r="G52" s="362"/>
      <c r="H52" s="362"/>
      <c r="I52" s="362"/>
      <c r="J52" s="362"/>
      <c r="K52" s="362"/>
      <c r="L52" s="83"/>
      <c r="Q52" s="108"/>
    </row>
    <row r="53" spans="12:15" ht="12.75" customHeight="1">
      <c r="L53" s="83"/>
      <c r="M53" s="374"/>
      <c r="O53" s="374"/>
    </row>
    <row r="54" ht="12.75" customHeight="1">
      <c r="L54" s="83"/>
    </row>
    <row r="55" ht="12.75" customHeight="1">
      <c r="L55" s="83"/>
    </row>
    <row r="56" ht="12.75" customHeight="1">
      <c r="L56" s="83"/>
    </row>
    <row r="57" ht="12.75" customHeight="1">
      <c r="L57" s="83"/>
    </row>
    <row r="58" ht="12.75" customHeight="1">
      <c r="L58" s="83"/>
    </row>
    <row r="59" ht="12.75" customHeight="1">
      <c r="L59" s="83"/>
    </row>
    <row r="60" ht="12.75" customHeight="1">
      <c r="L60" s="83"/>
    </row>
    <row r="61" ht="12.75" customHeight="1">
      <c r="L61" s="83"/>
    </row>
    <row r="62" ht="12.75" customHeight="1">
      <c r="L62" s="83"/>
    </row>
    <row r="63" ht="12.75" customHeight="1">
      <c r="L63" s="83"/>
    </row>
    <row r="64" ht="12.75" customHeight="1"/>
    <row r="65" ht="12.75" customHeight="1"/>
    <row r="66" ht="12.75" customHeight="1"/>
    <row r="67" ht="12.75" customHeight="1"/>
    <row r="68" ht="12.75" customHeight="1"/>
    <row r="69" ht="12.75" customHeight="1"/>
    <row r="70" ht="12.75" customHeight="1"/>
    <row r="71" ht="12.75" customHeight="1"/>
    <row r="72" ht="12.75" customHeight="1"/>
  </sheetData>
  <sheetProtection objects="1"/>
  <mergeCells count="4">
    <mergeCell ref="C1:O1"/>
    <mergeCell ref="C3:O3"/>
    <mergeCell ref="C2:O2"/>
    <mergeCell ref="G5:H5"/>
  </mergeCells>
  <hyperlinks>
    <hyperlink ref="C52" location="'Reconciliation Non-GAAP'!Print_Area" display="'Reconciliation Non-GAAP'!Print_Area"/>
  </hyperlinks>
  <printOptions/>
  <pageMargins left="0.5" right="0.5" top="0.5" bottom="0.5" header="0.75" footer="0.25"/>
  <pageSetup fitToHeight="1" fitToWidth="1" horizontalDpi="600" verticalDpi="600" orientation="landscape" scale="86" r:id="rId2"/>
  <headerFooter alignWithMargins="0">
    <oddFooter>&amp;L&amp;A&amp;R&amp;"Arial,Regular"&amp;8Page 4</oddFooter>
  </headerFooter>
  <drawing r:id="rId1"/>
</worksheet>
</file>

<file path=xl/worksheets/sheet7.xml><?xml version="1.0" encoding="utf-8"?>
<worksheet xmlns="http://schemas.openxmlformats.org/spreadsheetml/2006/main" xmlns:r="http://schemas.openxmlformats.org/officeDocument/2006/relationships">
  <sheetPr codeName="Sheet33"/>
  <dimension ref="A1:AP30"/>
  <sheetViews>
    <sheetView workbookViewId="0" topLeftCell="A1">
      <selection activeCell="A5" sqref="A5"/>
    </sheetView>
  </sheetViews>
  <sheetFormatPr defaultColWidth="9.33203125" defaultRowHeight="12.75"/>
  <cols>
    <col min="1" max="2" width="3.33203125" style="1" customWidth="1"/>
    <col min="3" max="3" width="18.5" style="1" customWidth="1"/>
    <col min="4" max="4" width="3.66015625" style="1" customWidth="1"/>
    <col min="5" max="5" width="8.33203125" style="1" customWidth="1"/>
    <col min="6" max="6" width="2.83203125" style="1" customWidth="1"/>
    <col min="7" max="7" width="8.33203125" style="1" customWidth="1"/>
    <col min="8" max="8" width="2.83203125" style="1" customWidth="1"/>
    <col min="9" max="9" width="8.33203125" style="1" customWidth="1"/>
    <col min="10" max="10" width="2.83203125" style="1" customWidth="1"/>
    <col min="11" max="11" width="8.33203125" style="1" customWidth="1"/>
    <col min="12" max="12" width="2.83203125" style="1" customWidth="1"/>
    <col min="13" max="13" width="8.33203125" style="1" customWidth="1"/>
    <col min="14" max="14" width="2.83203125" style="1" customWidth="1"/>
    <col min="15" max="15" width="8.33203125" style="1" customWidth="1"/>
    <col min="16" max="16" width="2.83203125" style="1" customWidth="1"/>
    <col min="17" max="17" width="8.33203125" style="1" customWidth="1"/>
    <col min="18" max="18" width="2.83203125" style="1" customWidth="1"/>
    <col min="19" max="19" width="8.33203125" style="1" customWidth="1"/>
    <col min="20" max="20" width="2.83203125" style="1" customWidth="1"/>
    <col min="21" max="21" width="8.33203125" style="1" customWidth="1"/>
    <col min="22" max="22" width="2.83203125" style="1" customWidth="1"/>
    <col min="23" max="16384" width="9" style="1" customWidth="1"/>
  </cols>
  <sheetData>
    <row r="1" spans="1:25" ht="12.75">
      <c r="A1" s="619" t="s">
        <v>96</v>
      </c>
      <c r="B1" s="619"/>
      <c r="C1" s="619"/>
      <c r="D1" s="619"/>
      <c r="E1" s="619"/>
      <c r="F1" s="619"/>
      <c r="G1" s="619"/>
      <c r="H1" s="619"/>
      <c r="I1" s="619"/>
      <c r="J1" s="619"/>
      <c r="K1" s="619"/>
      <c r="L1" s="619"/>
      <c r="M1" s="619"/>
      <c r="N1" s="619"/>
      <c r="O1" s="619"/>
      <c r="P1" s="619"/>
      <c r="Q1" s="619"/>
      <c r="R1" s="619"/>
      <c r="S1" s="619"/>
      <c r="T1" s="619"/>
      <c r="U1" s="619"/>
      <c r="V1" s="619"/>
      <c r="W1" s="619"/>
      <c r="X1" s="20"/>
      <c r="Y1" s="20"/>
    </row>
    <row r="2" spans="1:25" ht="11.25" customHeight="1">
      <c r="A2" s="618" t="s">
        <v>236</v>
      </c>
      <c r="B2" s="618"/>
      <c r="C2" s="618"/>
      <c r="D2" s="618"/>
      <c r="E2" s="618"/>
      <c r="F2" s="618"/>
      <c r="G2" s="618"/>
      <c r="H2" s="618"/>
      <c r="I2" s="618"/>
      <c r="J2" s="618"/>
      <c r="K2" s="618"/>
      <c r="L2" s="618"/>
      <c r="M2" s="618"/>
      <c r="N2" s="618"/>
      <c r="O2" s="618"/>
      <c r="P2" s="618"/>
      <c r="Q2" s="618"/>
      <c r="R2" s="618"/>
      <c r="S2" s="618"/>
      <c r="T2" s="618"/>
      <c r="U2" s="618"/>
      <c r="V2" s="618"/>
      <c r="W2" s="618"/>
      <c r="X2" s="2"/>
      <c r="Y2" s="2"/>
    </row>
    <row r="3" spans="1:25" ht="11.25" customHeight="1">
      <c r="A3" s="617" t="s">
        <v>154</v>
      </c>
      <c r="B3" s="617"/>
      <c r="C3" s="617"/>
      <c r="D3" s="617"/>
      <c r="E3" s="617"/>
      <c r="F3" s="617"/>
      <c r="G3" s="617"/>
      <c r="H3" s="617"/>
      <c r="I3" s="617"/>
      <c r="J3" s="617"/>
      <c r="K3" s="617"/>
      <c r="L3" s="617"/>
      <c r="M3" s="617"/>
      <c r="N3" s="617"/>
      <c r="O3" s="617"/>
      <c r="P3" s="617"/>
      <c r="Q3" s="617"/>
      <c r="R3" s="617"/>
      <c r="S3" s="617"/>
      <c r="T3" s="617"/>
      <c r="U3" s="617"/>
      <c r="V3" s="617"/>
      <c r="W3" s="617"/>
      <c r="X3" s="21"/>
      <c r="Y3" s="21"/>
    </row>
    <row r="4" spans="1:25" ht="11.25" customHeight="1">
      <c r="A4" s="617" t="s">
        <v>170</v>
      </c>
      <c r="B4" s="617"/>
      <c r="C4" s="617"/>
      <c r="D4" s="617"/>
      <c r="E4" s="617"/>
      <c r="F4" s="617"/>
      <c r="G4" s="617"/>
      <c r="H4" s="617"/>
      <c r="I4" s="617"/>
      <c r="J4" s="617"/>
      <c r="K4" s="617"/>
      <c r="L4" s="617"/>
      <c r="M4" s="617"/>
      <c r="N4" s="617"/>
      <c r="O4" s="617"/>
      <c r="P4" s="617"/>
      <c r="Q4" s="617"/>
      <c r="R4" s="617"/>
      <c r="S4" s="617"/>
      <c r="T4" s="617"/>
      <c r="U4" s="617"/>
      <c r="V4" s="617"/>
      <c r="W4" s="617"/>
      <c r="X4" s="21"/>
      <c r="Y4" s="21"/>
    </row>
    <row r="5" spans="3:21" ht="11.25">
      <c r="C5" s="539"/>
      <c r="U5" s="44"/>
    </row>
    <row r="6" spans="3:25" ht="12.75">
      <c r="C6" s="3" t="s">
        <v>171</v>
      </c>
      <c r="I6" s="254"/>
      <c r="M6" s="3"/>
      <c r="O6"/>
      <c r="P6"/>
      <c r="Q6"/>
      <c r="R6"/>
      <c r="S6"/>
      <c r="T6"/>
      <c r="V6" s="263"/>
      <c r="W6" s="44"/>
      <c r="X6" s="44"/>
      <c r="Y6" s="44"/>
    </row>
    <row r="7" spans="3:27" ht="12.75">
      <c r="C7" s="3"/>
      <c r="G7" s="2" t="s">
        <v>228</v>
      </c>
      <c r="K7" s="2" t="s">
        <v>228</v>
      </c>
      <c r="M7" s="2" t="s">
        <v>166</v>
      </c>
      <c r="N7" s="7"/>
      <c r="Q7" s="2" t="s">
        <v>228</v>
      </c>
      <c r="U7" s="2" t="s">
        <v>228</v>
      </c>
      <c r="W7" s="2" t="s">
        <v>166</v>
      </c>
      <c r="X7" s="2"/>
      <c r="Y7" s="2"/>
      <c r="AA7" s="1" t="s">
        <v>417</v>
      </c>
    </row>
    <row r="8" spans="4:27" ht="11.25">
      <c r="D8" s="2"/>
      <c r="E8" s="22"/>
      <c r="F8" s="124"/>
      <c r="G8" s="2" t="s">
        <v>124</v>
      </c>
      <c r="H8" s="124"/>
      <c r="I8" s="22"/>
      <c r="J8" s="124"/>
      <c r="K8" s="2" t="s">
        <v>124</v>
      </c>
      <c r="L8" s="124"/>
      <c r="M8" s="2" t="s">
        <v>431</v>
      </c>
      <c r="N8" s="7"/>
      <c r="O8" s="22" t="s">
        <v>19</v>
      </c>
      <c r="P8" s="124"/>
      <c r="Q8" s="2" t="s">
        <v>124</v>
      </c>
      <c r="R8" s="124"/>
      <c r="S8" s="22" t="s">
        <v>19</v>
      </c>
      <c r="T8" s="124"/>
      <c r="U8" s="2" t="s">
        <v>124</v>
      </c>
      <c r="V8" s="124"/>
      <c r="W8" s="2" t="s">
        <v>435</v>
      </c>
      <c r="X8" s="2"/>
      <c r="Y8" s="2"/>
      <c r="AA8" s="22" t="s">
        <v>418</v>
      </c>
    </row>
    <row r="9" spans="4:27" ht="11.25">
      <c r="D9" s="5"/>
      <c r="E9" s="4" t="s">
        <v>432</v>
      </c>
      <c r="F9" s="30"/>
      <c r="G9" s="4" t="s">
        <v>103</v>
      </c>
      <c r="H9" s="30"/>
      <c r="I9" s="4" t="s">
        <v>2</v>
      </c>
      <c r="J9" s="30"/>
      <c r="K9" s="4" t="s">
        <v>103</v>
      </c>
      <c r="L9" s="30"/>
      <c r="M9" s="530" t="s">
        <v>2</v>
      </c>
      <c r="N9" s="7"/>
      <c r="O9" s="278" t="s">
        <v>358</v>
      </c>
      <c r="P9" s="30"/>
      <c r="Q9" s="4" t="s">
        <v>103</v>
      </c>
      <c r="R9" s="30"/>
      <c r="S9" s="278" t="s">
        <v>280</v>
      </c>
      <c r="T9" s="30"/>
      <c r="U9" s="4" t="s">
        <v>103</v>
      </c>
      <c r="V9" s="30"/>
      <c r="W9" s="530" t="s">
        <v>436</v>
      </c>
      <c r="X9" s="551"/>
      <c r="Y9" s="551"/>
      <c r="AA9" s="278"/>
    </row>
    <row r="10" spans="3:27" ht="12.75">
      <c r="C10" s="183" t="s">
        <v>132</v>
      </c>
      <c r="D10" s="12"/>
      <c r="E10" s="12"/>
      <c r="F10" s="12"/>
      <c r="G10" s="12"/>
      <c r="H10" s="12"/>
      <c r="I10" s="170"/>
      <c r="J10" s="12"/>
      <c r="K10" s="12"/>
      <c r="L10" s="12"/>
      <c r="M10" s="12"/>
      <c r="N10" s="7"/>
      <c r="O10" s="12"/>
      <c r="P10"/>
      <c r="Q10"/>
      <c r="R10"/>
      <c r="S10" s="170"/>
      <c r="T10"/>
      <c r="U10"/>
      <c r="AA10" s="170"/>
    </row>
    <row r="11" spans="3:27" ht="12.75">
      <c r="C11" s="1" t="s">
        <v>17</v>
      </c>
      <c r="D11" s="41"/>
      <c r="E11" s="33">
        <f>+'Segment  2006 Qtr'!M11-E12-E13</f>
        <v>734</v>
      </c>
      <c r="F11" s="41"/>
      <c r="G11" s="247">
        <f>ROUND(+E11/$E$17,2)-0.01</f>
        <v>0.25</v>
      </c>
      <c r="H11" s="41"/>
      <c r="I11" s="33">
        <v>688</v>
      </c>
      <c r="J11" s="41"/>
      <c r="K11" s="247">
        <f>ROUND(+I11/$I$17,2)</f>
        <v>0.26</v>
      </c>
      <c r="L11" s="41"/>
      <c r="M11" s="247">
        <f>ROUND(+E11/I11-1,2)</f>
        <v>0.07</v>
      </c>
      <c r="N11" s="77"/>
      <c r="O11" s="33">
        <f>+'Segment  2006 YTD'!M11-O12-O13</f>
        <v>3677</v>
      </c>
      <c r="P11" s="263"/>
      <c r="Q11" s="247">
        <f>ROUND(+O11/$O$17,2)</f>
        <v>0.31</v>
      </c>
      <c r="R11" s="263"/>
      <c r="S11" s="33">
        <v>3468</v>
      </c>
      <c r="T11" s="263"/>
      <c r="U11" s="129">
        <f>ROUND(+S11/$S$17,2)</f>
        <v>0.29</v>
      </c>
      <c r="V11" s="44"/>
      <c r="W11" s="247">
        <f>ROUND(+O11/S11-1,2)</f>
        <v>0.06</v>
      </c>
      <c r="X11" s="247"/>
      <c r="Y11" s="247"/>
      <c r="AA11" s="33">
        <v>2541</v>
      </c>
    </row>
    <row r="12" spans="3:27" ht="12.75">
      <c r="C12" s="1" t="s">
        <v>249</v>
      </c>
      <c r="D12" s="41"/>
      <c r="E12" s="419">
        <v>1687</v>
      </c>
      <c r="F12" s="41"/>
      <c r="G12" s="247">
        <f>ROUND(+E12/$E$17,2)</f>
        <v>0.59</v>
      </c>
      <c r="H12" s="41"/>
      <c r="I12" s="419">
        <v>1563</v>
      </c>
      <c r="J12" s="41"/>
      <c r="K12" s="247">
        <f>ROUND(+I12/$I$17,2)</f>
        <v>0.59</v>
      </c>
      <c r="L12" s="41"/>
      <c r="M12" s="247">
        <f aca="true" t="shared" si="0" ref="M12:M17">ROUND(+E12/I12-1,2)</f>
        <v>0.08</v>
      </c>
      <c r="N12" s="77"/>
      <c r="O12" s="419">
        <v>6652</v>
      </c>
      <c r="P12" s="263"/>
      <c r="Q12" s="247">
        <f>ROUND(+O12/$O$17,2)</f>
        <v>0.55</v>
      </c>
      <c r="R12" s="263"/>
      <c r="S12" s="419">
        <v>6809</v>
      </c>
      <c r="T12" s="263"/>
      <c r="U12" s="129">
        <f>ROUND(+S12/$S$17,2)</f>
        <v>0.58</v>
      </c>
      <c r="V12" s="44"/>
      <c r="W12" s="247">
        <f>ROUND(+O12/S12-1,2)</f>
        <v>-0.02</v>
      </c>
      <c r="X12" s="247"/>
      <c r="Y12" s="247"/>
      <c r="AA12" s="419">
        <v>5097</v>
      </c>
    </row>
    <row r="13" spans="3:27" ht="12.75">
      <c r="C13" s="1" t="s">
        <v>227</v>
      </c>
      <c r="D13" s="41"/>
      <c r="E13" s="419">
        <v>365</v>
      </c>
      <c r="F13" s="41"/>
      <c r="G13" s="247">
        <f>ROUND(+E13/$E$17,2)</f>
        <v>0.13</v>
      </c>
      <c r="H13" s="41"/>
      <c r="I13" s="419">
        <v>310</v>
      </c>
      <c r="J13" s="41"/>
      <c r="K13" s="247">
        <f>ROUND(+I13/$I$17,2)</f>
        <v>0.12</v>
      </c>
      <c r="L13" s="41"/>
      <c r="M13" s="247">
        <f t="shared" si="0"/>
        <v>0.18</v>
      </c>
      <c r="N13" s="77"/>
      <c r="O13" s="419">
        <f>1062+E13</f>
        <v>1427</v>
      </c>
      <c r="P13" s="263"/>
      <c r="Q13" s="247">
        <f>ROUND(+O13/$O$17,2)</f>
        <v>0.12</v>
      </c>
      <c r="R13" s="263"/>
      <c r="S13" s="419">
        <v>1267</v>
      </c>
      <c r="T13" s="263"/>
      <c r="U13" s="130">
        <f>ROUND(+S13/$S$17,2)</f>
        <v>0.11</v>
      </c>
      <c r="V13" s="44"/>
      <c r="W13" s="247">
        <f>ROUND(+O13/S13-1,2)</f>
        <v>0.13</v>
      </c>
      <c r="X13" s="247"/>
      <c r="Y13" s="247"/>
      <c r="AA13" s="419">
        <v>957</v>
      </c>
    </row>
    <row r="14" spans="3:27" ht="12.75">
      <c r="C14" s="189" t="s">
        <v>243</v>
      </c>
      <c r="D14" s="236"/>
      <c r="E14" s="436">
        <f>SUM(E11:E13)</f>
        <v>2786</v>
      </c>
      <c r="F14" s="236"/>
      <c r="G14" s="251">
        <f>+G11+G12+G13</f>
        <v>0.97</v>
      </c>
      <c r="H14" s="236"/>
      <c r="I14" s="437">
        <f>SUM(I11:I13)</f>
        <v>2561</v>
      </c>
      <c r="J14" s="236"/>
      <c r="K14" s="251">
        <f>+K11+K12+K13</f>
        <v>0.97</v>
      </c>
      <c r="L14" s="236"/>
      <c r="M14" s="251">
        <f t="shared" si="0"/>
        <v>0.09</v>
      </c>
      <c r="N14" s="77"/>
      <c r="O14" s="436">
        <f>SUM(O11:O13)</f>
        <v>11756</v>
      </c>
      <c r="P14" s="263"/>
      <c r="Q14" s="251">
        <f>+Q11+Q12+Q13</f>
        <v>0.9800000000000001</v>
      </c>
      <c r="R14" s="263"/>
      <c r="S14" s="436">
        <f>SUM(S11:S13)</f>
        <v>11544</v>
      </c>
      <c r="T14" s="263"/>
      <c r="U14" s="541">
        <f>SUM(U11:U13)</f>
        <v>0.9799999999999999</v>
      </c>
      <c r="V14" s="44"/>
      <c r="W14" s="251">
        <f>ROUND(+O14/S14-1,2)</f>
        <v>0.02</v>
      </c>
      <c r="X14" s="247"/>
      <c r="Y14" s="247"/>
      <c r="AA14" s="436">
        <v>8595</v>
      </c>
    </row>
    <row r="15" spans="3:27" ht="12.75">
      <c r="C15" s="193"/>
      <c r="D15" s="271"/>
      <c r="E15" s="271"/>
      <c r="F15" s="271"/>
      <c r="G15" s="272"/>
      <c r="H15" s="271"/>
      <c r="I15" s="376"/>
      <c r="J15" s="271"/>
      <c r="K15" s="272"/>
      <c r="L15" s="271"/>
      <c r="M15" s="272"/>
      <c r="N15" s="77"/>
      <c r="O15" s="271"/>
      <c r="P15" s="263"/>
      <c r="Q15" s="272"/>
      <c r="R15" s="263"/>
      <c r="S15" s="271"/>
      <c r="T15" s="263"/>
      <c r="U15" s="44"/>
      <c r="V15" s="44"/>
      <c r="W15" s="272"/>
      <c r="X15" s="272"/>
      <c r="Y15" s="272"/>
      <c r="AA15" s="271"/>
    </row>
    <row r="16" spans="3:27" ht="11.25" customHeight="1">
      <c r="C16" s="1" t="s">
        <v>127</v>
      </c>
      <c r="D16" s="87"/>
      <c r="E16" s="419">
        <f>+'Segment  2006 Qtr'!O11</f>
        <v>78</v>
      </c>
      <c r="F16" s="87"/>
      <c r="G16" s="247">
        <f>ROUND(+E16/$E$17,2)</f>
        <v>0.03</v>
      </c>
      <c r="H16" s="87"/>
      <c r="I16" s="419">
        <v>67</v>
      </c>
      <c r="J16" s="87"/>
      <c r="K16" s="247">
        <f>ROUND(+I16/$I$17,2)</f>
        <v>0.03</v>
      </c>
      <c r="L16" s="87"/>
      <c r="M16" s="247">
        <f t="shared" si="0"/>
        <v>0.16</v>
      </c>
      <c r="N16" s="77"/>
      <c r="O16" s="419">
        <f>+'Segment  2006 YTD'!O11</f>
        <v>274</v>
      </c>
      <c r="P16" s="263"/>
      <c r="Q16" s="247">
        <f>ROUND(+O16/$O$17,2)</f>
        <v>0.02</v>
      </c>
      <c r="R16" s="263"/>
      <c r="S16" s="419">
        <v>248</v>
      </c>
      <c r="T16" s="263"/>
      <c r="U16" s="129">
        <f>ROUND(+S16/$S$17,2)</f>
        <v>0.02</v>
      </c>
      <c r="V16" s="44"/>
      <c r="W16" s="247">
        <f>ROUND(+O16/S16-1,2)</f>
        <v>0.1</v>
      </c>
      <c r="X16" s="247"/>
      <c r="Y16" s="247"/>
      <c r="AA16" s="419">
        <v>181</v>
      </c>
    </row>
    <row r="17" spans="3:27" ht="13.5" thickBot="1">
      <c r="C17" s="189" t="s">
        <v>244</v>
      </c>
      <c r="D17" s="236"/>
      <c r="E17" s="420">
        <f>+E14+E16</f>
        <v>2864</v>
      </c>
      <c r="F17" s="236"/>
      <c r="G17" s="285">
        <f>+G14+G16</f>
        <v>1</v>
      </c>
      <c r="H17" s="236"/>
      <c r="I17" s="420">
        <f>+I14+I16</f>
        <v>2628</v>
      </c>
      <c r="J17" s="236"/>
      <c r="K17" s="285">
        <f>+K14+K16</f>
        <v>1</v>
      </c>
      <c r="L17" s="236"/>
      <c r="M17" s="285">
        <f t="shared" si="0"/>
        <v>0.09</v>
      </c>
      <c r="N17" s="77"/>
      <c r="O17" s="420">
        <f>+O14+O16</f>
        <v>12030</v>
      </c>
      <c r="P17" s="263"/>
      <c r="Q17" s="285">
        <f>+Q14+Q16</f>
        <v>1</v>
      </c>
      <c r="R17" s="263"/>
      <c r="S17" s="420">
        <f>+S14+S16</f>
        <v>11792</v>
      </c>
      <c r="T17" s="263"/>
      <c r="U17" s="285">
        <f>+U14+U16</f>
        <v>0.9999999999999999</v>
      </c>
      <c r="V17" s="44"/>
      <c r="W17" s="285">
        <f>ROUND(+O17/S17-1,2)</f>
        <v>0.02</v>
      </c>
      <c r="X17" s="247"/>
      <c r="Y17" s="247"/>
      <c r="AA17" s="420">
        <v>9164</v>
      </c>
    </row>
    <row r="18" spans="4:27" ht="13.5" thickTop="1">
      <c r="D18" s="42"/>
      <c r="E18" s="42"/>
      <c r="F18" s="87"/>
      <c r="G18" s="87"/>
      <c r="H18" s="87"/>
      <c r="I18" s="42"/>
      <c r="J18" s="87"/>
      <c r="K18" s="87"/>
      <c r="L18" s="87"/>
      <c r="M18" s="42"/>
      <c r="N18" s="77"/>
      <c r="O18" s="42"/>
      <c r="P18" s="263"/>
      <c r="Q18" s="87"/>
      <c r="R18" s="263"/>
      <c r="S18" s="42"/>
      <c r="T18" s="263"/>
      <c r="U18" s="44"/>
      <c r="V18" s="44"/>
      <c r="W18" s="42"/>
      <c r="X18" s="42"/>
      <c r="Y18" s="42"/>
      <c r="AA18" s="42"/>
    </row>
    <row r="19" spans="4:27" ht="12.75">
      <c r="D19" s="42"/>
      <c r="E19" s="42"/>
      <c r="F19" s="42"/>
      <c r="G19" s="42"/>
      <c r="H19" s="42"/>
      <c r="I19" s="42"/>
      <c r="J19" s="42"/>
      <c r="K19" s="42"/>
      <c r="L19" s="42"/>
      <c r="M19" s="42"/>
      <c r="N19" s="77"/>
      <c r="O19" s="42"/>
      <c r="P19" s="263"/>
      <c r="Q19" s="42"/>
      <c r="R19" s="263"/>
      <c r="S19" s="42"/>
      <c r="T19" s="263"/>
      <c r="U19" s="44"/>
      <c r="V19" s="44"/>
      <c r="W19" s="42"/>
      <c r="X19" s="42"/>
      <c r="Y19" s="42"/>
      <c r="AA19" s="42"/>
    </row>
    <row r="20" spans="3:27" ht="12.75">
      <c r="C20" s="183" t="s">
        <v>133</v>
      </c>
      <c r="D20" s="87"/>
      <c r="E20" s="87"/>
      <c r="F20" s="87"/>
      <c r="G20" s="44"/>
      <c r="H20" s="87"/>
      <c r="I20" s="87"/>
      <c r="J20" s="87"/>
      <c r="K20" s="44"/>
      <c r="L20" s="87"/>
      <c r="M20" s="87"/>
      <c r="N20" s="87"/>
      <c r="O20" s="87"/>
      <c r="P20" s="263"/>
      <c r="Q20" s="44"/>
      <c r="R20" s="263"/>
      <c r="S20" s="87"/>
      <c r="T20" s="263"/>
      <c r="U20" s="44"/>
      <c r="V20" s="44"/>
      <c r="W20" s="87"/>
      <c r="X20" s="87"/>
      <c r="Y20" s="87"/>
      <c r="AA20" s="87"/>
    </row>
    <row r="21" spans="3:42" ht="12.75">
      <c r="C21" s="1" t="s">
        <v>17</v>
      </c>
      <c r="D21" s="41"/>
      <c r="E21" s="39">
        <f>+'Segment  2006 Qtr'!M12-E22-E23</f>
        <v>924</v>
      </c>
      <c r="F21" s="61"/>
      <c r="G21" s="247">
        <f>ROUND(+E21/$E$27,2)</f>
        <v>0.31</v>
      </c>
      <c r="H21" s="61"/>
      <c r="I21" s="39">
        <v>887</v>
      </c>
      <c r="J21" s="61"/>
      <c r="K21" s="247">
        <f>ROUND(+I21/$I$27,2)</f>
        <v>0.31</v>
      </c>
      <c r="L21" s="61"/>
      <c r="M21" s="247">
        <f>ROUND(+E21/I21-1,2)</f>
        <v>0.04</v>
      </c>
      <c r="N21" s="77"/>
      <c r="O21" s="39">
        <f>+'Segment  2006 YTD'!M12-O22-O23</f>
        <v>3618</v>
      </c>
      <c r="P21" s="263"/>
      <c r="Q21" s="247">
        <f>ROUND(+O21/$O$27,2)</f>
        <v>0.31</v>
      </c>
      <c r="R21" s="263"/>
      <c r="S21" s="39">
        <v>3560</v>
      </c>
      <c r="T21" s="263"/>
      <c r="U21" s="247">
        <f>ROUND(+S21/$S$27,2)</f>
        <v>0.3</v>
      </c>
      <c r="V21" s="44"/>
      <c r="W21" s="247">
        <f>ROUND(+O21/S21-1,2)</f>
        <v>0.02</v>
      </c>
      <c r="X21" s="247"/>
      <c r="Y21" s="247"/>
      <c r="Z21" s="352"/>
      <c r="AA21" s="39">
        <v>2441</v>
      </c>
      <c r="AD21" s="350"/>
      <c r="AE21" s="350"/>
      <c r="AF21" s="350"/>
      <c r="AG21" s="350"/>
      <c r="AH21" s="350"/>
      <c r="AI21" s="350"/>
      <c r="AJ21" s="350"/>
      <c r="AK21" s="350"/>
      <c r="AL21" s="350"/>
      <c r="AM21" s="350"/>
      <c r="AN21" s="350"/>
      <c r="AO21" s="350"/>
      <c r="AP21" s="350"/>
    </row>
    <row r="22" spans="3:42" ht="12.75">
      <c r="C22" s="1" t="s">
        <v>249</v>
      </c>
      <c r="D22" s="41"/>
      <c r="E22" s="419">
        <v>1646</v>
      </c>
      <c r="F22" s="41"/>
      <c r="G22" s="247">
        <f>ROUND(+E22/$E$27,2)</f>
        <v>0.54</v>
      </c>
      <c r="H22" s="41"/>
      <c r="I22" s="419">
        <v>1591</v>
      </c>
      <c r="J22" s="41"/>
      <c r="K22" s="247">
        <f>ROUND(+I22/$I$27,2)</f>
        <v>0.56</v>
      </c>
      <c r="L22" s="41"/>
      <c r="M22" s="247">
        <f aca="true" t="shared" si="1" ref="M22:M27">ROUND(+E22/I22-1,2)</f>
        <v>0.03</v>
      </c>
      <c r="N22" s="77"/>
      <c r="O22" s="419">
        <v>6506</v>
      </c>
      <c r="P22" s="263"/>
      <c r="Q22" s="247">
        <f>ROUND(+O22/$O$27,2)</f>
        <v>0.55</v>
      </c>
      <c r="R22" s="263"/>
      <c r="S22" s="419">
        <v>6698</v>
      </c>
      <c r="T22" s="263"/>
      <c r="U22" s="247">
        <f>ROUND(+S22/$S$27,2)</f>
        <v>0.57</v>
      </c>
      <c r="V22" s="44"/>
      <c r="W22" s="247">
        <f>ROUND(+O22/S22-1,2)</f>
        <v>-0.03</v>
      </c>
      <c r="X22" s="247"/>
      <c r="Y22" s="247"/>
      <c r="Z22" s="352"/>
      <c r="AA22" s="419">
        <v>4900</v>
      </c>
      <c r="AD22" s="350"/>
      <c r="AE22" s="350"/>
      <c r="AF22" s="350"/>
      <c r="AG22" s="350"/>
      <c r="AH22" s="350"/>
      <c r="AI22" s="350"/>
      <c r="AJ22" s="350"/>
      <c r="AK22" s="350"/>
      <c r="AL22" s="350"/>
      <c r="AM22" s="350"/>
      <c r="AN22" s="350"/>
      <c r="AO22" s="350"/>
      <c r="AP22" s="350"/>
    </row>
    <row r="23" spans="3:42" ht="12.75">
      <c r="C23" s="1" t="s">
        <v>227</v>
      </c>
      <c r="D23" s="41"/>
      <c r="E23" s="419">
        <v>378</v>
      </c>
      <c r="F23" s="41"/>
      <c r="G23" s="247">
        <f>ROUND(+E23/$E$27,2)</f>
        <v>0.12</v>
      </c>
      <c r="H23" s="41"/>
      <c r="I23" s="419">
        <v>314</v>
      </c>
      <c r="J23" s="41"/>
      <c r="K23" s="247">
        <f>ROUND(+I23/$I$27,2)</f>
        <v>0.11</v>
      </c>
      <c r="L23" s="41"/>
      <c r="M23" s="247">
        <f t="shared" si="1"/>
        <v>0.2</v>
      </c>
      <c r="N23" s="77"/>
      <c r="O23" s="419">
        <f>1049+E23</f>
        <v>1427</v>
      </c>
      <c r="P23" s="263"/>
      <c r="Q23" s="247">
        <f>ROUND(+O23/$O$27,2)</f>
        <v>0.12</v>
      </c>
      <c r="R23" s="263"/>
      <c r="S23" s="419">
        <v>1242</v>
      </c>
      <c r="T23" s="263"/>
      <c r="U23" s="247">
        <f>ROUND(+S23/$S$27,2)</f>
        <v>0.11</v>
      </c>
      <c r="V23" s="44"/>
      <c r="W23" s="247">
        <f>ROUND(+O23/S23-1,2)</f>
        <v>0.15</v>
      </c>
      <c r="X23" s="247"/>
      <c r="Y23" s="247"/>
      <c r="Z23" s="352"/>
      <c r="AA23" s="419">
        <v>928</v>
      </c>
      <c r="AD23" s="350"/>
      <c r="AE23" s="350"/>
      <c r="AF23" s="350"/>
      <c r="AG23" s="350"/>
      <c r="AH23" s="350"/>
      <c r="AI23" s="350"/>
      <c r="AJ23" s="350"/>
      <c r="AK23" s="350"/>
      <c r="AL23" s="350"/>
      <c r="AM23" s="350"/>
      <c r="AN23" s="350"/>
      <c r="AO23" s="350"/>
      <c r="AP23" s="350"/>
    </row>
    <row r="24" spans="3:42" ht="12.75">
      <c r="C24" s="189" t="s">
        <v>243</v>
      </c>
      <c r="D24" s="236"/>
      <c r="E24" s="436">
        <f>SUM(E21:E23)</f>
        <v>2948</v>
      </c>
      <c r="F24" s="236"/>
      <c r="G24" s="251">
        <f>+G21+G22+G23</f>
        <v>0.9700000000000001</v>
      </c>
      <c r="H24" s="236"/>
      <c r="I24" s="437">
        <f>SUM(I21:I23)</f>
        <v>2792</v>
      </c>
      <c r="J24" s="236"/>
      <c r="K24" s="251">
        <f>+K21+K22+K23</f>
        <v>0.9800000000000001</v>
      </c>
      <c r="L24" s="236"/>
      <c r="M24" s="251">
        <f t="shared" si="1"/>
        <v>0.06</v>
      </c>
      <c r="N24" s="77"/>
      <c r="O24" s="436">
        <f>SUM(O21:O23)</f>
        <v>11551</v>
      </c>
      <c r="P24" s="263"/>
      <c r="Q24" s="251">
        <f>+Q21+Q22+Q23</f>
        <v>0.9800000000000001</v>
      </c>
      <c r="R24" s="263"/>
      <c r="S24" s="436">
        <f>SUM(S21:S23)</f>
        <v>11500</v>
      </c>
      <c r="T24" s="263"/>
      <c r="U24" s="251">
        <f>+U21+U22+U23</f>
        <v>0.9799999999999999</v>
      </c>
      <c r="V24" s="44"/>
      <c r="W24" s="251">
        <f>ROUND(+O24/S24-1,2)</f>
        <v>0</v>
      </c>
      <c r="X24" s="247"/>
      <c r="Y24" s="247"/>
      <c r="AA24" s="436">
        <v>8269</v>
      </c>
      <c r="AD24" s="350"/>
      <c r="AE24" s="350"/>
      <c r="AF24" s="350"/>
      <c r="AG24" s="350"/>
      <c r="AH24" s="350"/>
      <c r="AI24" s="350"/>
      <c r="AJ24" s="350"/>
      <c r="AK24" s="350"/>
      <c r="AL24" s="350"/>
      <c r="AM24" s="350"/>
      <c r="AN24" s="350"/>
      <c r="AO24" s="350"/>
      <c r="AP24" s="350"/>
    </row>
    <row r="25" spans="3:42" ht="12.75">
      <c r="C25" s="193"/>
      <c r="D25" s="271"/>
      <c r="E25" s="271"/>
      <c r="F25" s="271"/>
      <c r="G25" s="272"/>
      <c r="H25" s="271"/>
      <c r="I25" s="271"/>
      <c r="J25" s="271"/>
      <c r="K25" s="272"/>
      <c r="L25" s="271"/>
      <c r="M25" s="272"/>
      <c r="N25" s="77"/>
      <c r="O25" s="271"/>
      <c r="P25" s="263"/>
      <c r="Q25" s="272"/>
      <c r="R25" s="263"/>
      <c r="S25" s="271"/>
      <c r="T25" s="263"/>
      <c r="U25" s="367"/>
      <c r="V25" s="44"/>
      <c r="W25" s="272"/>
      <c r="X25" s="272"/>
      <c r="Y25" s="272"/>
      <c r="AA25" s="271"/>
      <c r="AD25" s="350"/>
      <c r="AE25" s="350"/>
      <c r="AF25" s="350"/>
      <c r="AG25" s="350"/>
      <c r="AH25" s="350"/>
      <c r="AI25" s="350"/>
      <c r="AJ25" s="350"/>
      <c r="AK25" s="350"/>
      <c r="AL25" s="350"/>
      <c r="AM25" s="350"/>
      <c r="AN25" s="350"/>
      <c r="AO25" s="350"/>
      <c r="AP25" s="350"/>
    </row>
    <row r="26" spans="3:42" ht="12.75">
      <c r="C26" s="1" t="s">
        <v>127</v>
      </c>
      <c r="D26" s="87"/>
      <c r="E26" s="419">
        <f>+'Segment  2006 Qtr'!O12</f>
        <v>78</v>
      </c>
      <c r="F26" s="87"/>
      <c r="G26" s="247">
        <f>ROUND(+E26/$E$27,2)</f>
        <v>0.03</v>
      </c>
      <c r="H26" s="87"/>
      <c r="I26" s="419">
        <v>67</v>
      </c>
      <c r="J26" s="87"/>
      <c r="K26" s="247">
        <f>ROUND(+I26/$I$27,2)</f>
        <v>0.02</v>
      </c>
      <c r="L26" s="87"/>
      <c r="M26" s="247">
        <f t="shared" si="1"/>
        <v>0.16</v>
      </c>
      <c r="N26" s="77"/>
      <c r="O26" s="419">
        <f>+'Segment  2006 YTD'!O12</f>
        <v>274</v>
      </c>
      <c r="P26" s="263"/>
      <c r="Q26" s="247">
        <f>ROUND(+O26/$O$27,2)</f>
        <v>0.02</v>
      </c>
      <c r="R26" s="263"/>
      <c r="S26" s="419">
        <v>248</v>
      </c>
      <c r="T26" s="263"/>
      <c r="U26" s="247">
        <f>ROUND(+S26/$S$27,2)</f>
        <v>0.02</v>
      </c>
      <c r="V26" s="44"/>
      <c r="W26" s="247">
        <f>ROUND(+O26/S26-1,2)</f>
        <v>0.1</v>
      </c>
      <c r="X26" s="247"/>
      <c r="Y26" s="247"/>
      <c r="Z26" s="352"/>
      <c r="AA26" s="419">
        <v>181</v>
      </c>
      <c r="AD26" s="350"/>
      <c r="AE26" s="350"/>
      <c r="AF26" s="350"/>
      <c r="AG26" s="350"/>
      <c r="AH26" s="350"/>
      <c r="AI26" s="350"/>
      <c r="AJ26" s="350"/>
      <c r="AK26" s="350"/>
      <c r="AL26" s="350"/>
      <c r="AM26" s="350"/>
      <c r="AN26" s="350"/>
      <c r="AO26" s="350"/>
      <c r="AP26" s="350"/>
    </row>
    <row r="27" spans="3:42" ht="13.5" thickBot="1">
      <c r="C27" s="189" t="s">
        <v>244</v>
      </c>
      <c r="D27" s="236"/>
      <c r="E27" s="420">
        <f>+E24+E26</f>
        <v>3026</v>
      </c>
      <c r="F27" s="236"/>
      <c r="G27" s="285">
        <f>+G24+G26</f>
        <v>1</v>
      </c>
      <c r="H27" s="236"/>
      <c r="I27" s="420">
        <f>+I24+I26</f>
        <v>2859</v>
      </c>
      <c r="J27" s="236"/>
      <c r="K27" s="285">
        <f>+K24+K26</f>
        <v>1</v>
      </c>
      <c r="L27" s="236"/>
      <c r="M27" s="285">
        <f t="shared" si="1"/>
        <v>0.06</v>
      </c>
      <c r="N27" s="77"/>
      <c r="O27" s="420">
        <f>+O24+O26</f>
        <v>11825</v>
      </c>
      <c r="P27" s="263"/>
      <c r="Q27" s="285">
        <f>+Q24+Q26</f>
        <v>1</v>
      </c>
      <c r="R27" s="263"/>
      <c r="S27" s="420">
        <f>+S24+S26</f>
        <v>11748</v>
      </c>
      <c r="T27" s="263"/>
      <c r="U27" s="285">
        <f>+U24+U26</f>
        <v>0.9999999999999999</v>
      </c>
      <c r="V27" s="44"/>
      <c r="W27" s="285">
        <f>ROUND(+O27/S27-1,2)</f>
        <v>0.01</v>
      </c>
      <c r="X27" s="247"/>
      <c r="Y27" s="247"/>
      <c r="Z27" s="352"/>
      <c r="AA27" s="420">
        <v>8889</v>
      </c>
      <c r="AD27" s="350"/>
      <c r="AE27" s="350"/>
      <c r="AF27" s="350"/>
      <c r="AG27" s="350"/>
      <c r="AH27" s="350"/>
      <c r="AI27" s="350"/>
      <c r="AJ27" s="350"/>
      <c r="AK27" s="350"/>
      <c r="AL27" s="350"/>
      <c r="AM27" s="350"/>
      <c r="AN27" s="350"/>
      <c r="AO27" s="350"/>
      <c r="AP27" s="350"/>
    </row>
    <row r="28" spans="4:25" ht="12" thickTop="1">
      <c r="D28" s="42"/>
      <c r="E28" s="42"/>
      <c r="F28" s="42"/>
      <c r="G28" s="87"/>
      <c r="H28" s="42"/>
      <c r="I28" s="42"/>
      <c r="J28" s="42"/>
      <c r="K28" s="42"/>
      <c r="L28" s="44"/>
      <c r="M28" s="18"/>
      <c r="N28" s="44"/>
      <c r="O28" s="44"/>
      <c r="P28" s="44"/>
      <c r="Q28" s="44"/>
      <c r="R28" s="44"/>
      <c r="S28" s="44"/>
      <c r="T28" s="44"/>
      <c r="U28" s="44"/>
      <c r="V28" s="44"/>
      <c r="W28" s="44"/>
      <c r="X28" s="44"/>
      <c r="Y28" s="44"/>
    </row>
    <row r="29" spans="4:13" ht="11.25">
      <c r="D29" s="9"/>
      <c r="E29" s="9"/>
      <c r="F29" s="9"/>
      <c r="G29" s="9"/>
      <c r="H29" s="9"/>
      <c r="I29" s="9"/>
      <c r="J29" s="9"/>
      <c r="K29" s="9"/>
      <c r="M29" s="247"/>
    </row>
    <row r="30" spans="4:11" ht="11.25">
      <c r="D30" s="9"/>
      <c r="E30" s="9"/>
      <c r="F30" s="9"/>
      <c r="G30" s="9"/>
      <c r="H30" s="9"/>
      <c r="I30" s="9"/>
      <c r="J30" s="9"/>
      <c r="K30" s="9"/>
    </row>
  </sheetData>
  <mergeCells count="4">
    <mergeCell ref="A1:W1"/>
    <mergeCell ref="A2:W2"/>
    <mergeCell ref="A3:W3"/>
    <mergeCell ref="A4:W4"/>
  </mergeCells>
  <conditionalFormatting sqref="G27 Q27 K27 U27 G17 U17 K17 Q17">
    <cfRule type="cellIs" priority="1" dxfId="0" operator="notEqual" stopIfTrue="1">
      <formula>1</formula>
    </cfRule>
  </conditionalFormatting>
  <hyperlinks>
    <hyperlink ref="E17" location="'Financial Highlights'!E12" display="'Financial Highlights'!E12"/>
    <hyperlink ref="E27" location="'Financial Highlights'!E14" display="'Financial Highlights'!E14"/>
    <hyperlink ref="I17" location="'Financial Highlights'!G12" display="'Financial Highlights'!G12"/>
    <hyperlink ref="I27" location="'Financial Highlights'!G14" display="'Financial Highlights'!G14"/>
    <hyperlink ref="O17" location="'Financial Highlights'!L12" display="'Financial Highlights'!L12"/>
    <hyperlink ref="S17" location="'Financial Highlights'!N12" display="'Financial Highlights'!N12"/>
    <hyperlink ref="S27" location="'Financial Highlights'!N14" display="'Financial Highlights'!N14"/>
    <hyperlink ref="O27" location="'Financial Highlights'!E14" display="'Financial Highlights'!E14"/>
  </hyperlinks>
  <printOptions/>
  <pageMargins left="0.5" right="0.5" top="0.5" bottom="0.5" header="0.75" footer="0.25"/>
  <pageSetup horizontalDpi="600" verticalDpi="600" orientation="landscape" r:id="rId2"/>
  <headerFooter alignWithMargins="0">
    <oddFooter>&amp;L&amp;A&amp;R&amp;"Arial,Regular"&amp;8Page 5</oddFooter>
  </headerFooter>
  <drawing r:id="rId1"/>
</worksheet>
</file>

<file path=xl/worksheets/sheet8.xml><?xml version="1.0" encoding="utf-8"?>
<worksheet xmlns="http://schemas.openxmlformats.org/spreadsheetml/2006/main" xmlns:r="http://schemas.openxmlformats.org/officeDocument/2006/relationships">
  <sheetPr codeName="Sheet10"/>
  <dimension ref="C1:T58"/>
  <sheetViews>
    <sheetView workbookViewId="0" topLeftCell="A1">
      <selection activeCell="A6" sqref="A6"/>
    </sheetView>
  </sheetViews>
  <sheetFormatPr defaultColWidth="9.33203125" defaultRowHeight="12.75"/>
  <cols>
    <col min="1" max="2" width="3.33203125" style="1" customWidth="1"/>
    <col min="3" max="3" width="41" style="1" customWidth="1"/>
    <col min="4" max="4" width="1.171875" style="1" customWidth="1"/>
    <col min="5" max="5" width="8.33203125" style="9" customWidth="1"/>
    <col min="6" max="6" width="3.83203125" style="9" customWidth="1"/>
    <col min="7" max="7" width="8.33203125" style="378" customWidth="1"/>
    <col min="8" max="8" width="3.83203125" style="29" customWidth="1"/>
    <col min="9" max="9" width="8.33203125" style="42" customWidth="1"/>
    <col min="10" max="10" width="3.83203125" style="9" customWidth="1"/>
    <col min="11" max="11" width="8.33203125" style="9" customWidth="1"/>
    <col min="12" max="12" width="3" style="9" customWidth="1"/>
    <col min="13" max="13" width="8.33203125" style="9" customWidth="1"/>
    <col min="14" max="14" width="4.83203125" style="9" customWidth="1"/>
    <col min="15" max="15" width="8.33203125" style="9" customWidth="1"/>
    <col min="16" max="16" width="4.83203125" style="9" customWidth="1"/>
    <col min="17" max="17" width="8.33203125" style="1" customWidth="1"/>
    <col min="18" max="18" width="1.5" style="1" customWidth="1"/>
    <col min="19" max="16384" width="9.33203125" style="1" customWidth="1"/>
  </cols>
  <sheetData>
    <row r="1" spans="3:18" ht="12.75">
      <c r="C1" s="90" t="s">
        <v>96</v>
      </c>
      <c r="D1" s="90"/>
      <c r="E1" s="90"/>
      <c r="F1" s="90"/>
      <c r="G1" s="477"/>
      <c r="H1" s="90"/>
      <c r="I1" s="477"/>
      <c r="J1" s="90"/>
      <c r="K1" s="90"/>
      <c r="L1" s="90"/>
      <c r="M1" s="90"/>
      <c r="N1" s="90"/>
      <c r="O1" s="90"/>
      <c r="P1" s="90"/>
      <c r="Q1" s="90"/>
      <c r="R1" s="89"/>
    </row>
    <row r="2" spans="3:18" ht="12">
      <c r="C2" s="91" t="s">
        <v>79</v>
      </c>
      <c r="D2" s="91"/>
      <c r="E2" s="91"/>
      <c r="F2" s="91"/>
      <c r="G2" s="478"/>
      <c r="H2" s="91"/>
      <c r="I2" s="478"/>
      <c r="J2" s="91"/>
      <c r="K2" s="91"/>
      <c r="L2" s="91"/>
      <c r="M2" s="91"/>
      <c r="N2" s="91"/>
      <c r="O2" s="91"/>
      <c r="P2" s="91"/>
      <c r="Q2" s="91"/>
      <c r="R2" s="89"/>
    </row>
    <row r="3" spans="3:18" ht="12">
      <c r="C3" s="91" t="s">
        <v>439</v>
      </c>
      <c r="D3" s="91"/>
      <c r="E3" s="91"/>
      <c r="F3" s="91"/>
      <c r="G3" s="478"/>
      <c r="H3" s="91"/>
      <c r="I3" s="478"/>
      <c r="J3" s="91"/>
      <c r="K3" s="91"/>
      <c r="L3" s="91"/>
      <c r="M3" s="91"/>
      <c r="N3" s="91"/>
      <c r="O3" s="91"/>
      <c r="P3" s="91"/>
      <c r="Q3" s="91"/>
      <c r="R3" s="89"/>
    </row>
    <row r="4" spans="3:18" ht="12">
      <c r="C4" s="92" t="s">
        <v>154</v>
      </c>
      <c r="D4" s="92"/>
      <c r="E4" s="92"/>
      <c r="F4" s="92"/>
      <c r="G4" s="267"/>
      <c r="H4" s="92"/>
      <c r="I4" s="267"/>
      <c r="J4" s="92"/>
      <c r="K4" s="92"/>
      <c r="L4" s="92"/>
      <c r="M4" s="92"/>
      <c r="N4" s="92"/>
      <c r="O4" s="92"/>
      <c r="P4" s="92"/>
      <c r="Q4" s="92"/>
      <c r="R4" s="89"/>
    </row>
    <row r="5" spans="3:18" ht="11.25">
      <c r="C5" s="92" t="s">
        <v>170</v>
      </c>
      <c r="D5" s="92"/>
      <c r="E5" s="92"/>
      <c r="F5" s="92"/>
      <c r="G5" s="267"/>
      <c r="H5" s="92"/>
      <c r="I5" s="267"/>
      <c r="J5" s="92"/>
      <c r="K5" s="92"/>
      <c r="L5" s="92"/>
      <c r="M5" s="92"/>
      <c r="N5" s="92"/>
      <c r="O5" s="92"/>
      <c r="P5" s="92"/>
      <c r="Q5" s="92"/>
      <c r="R5" s="89"/>
    </row>
    <row r="6" spans="3:18" ht="10.5" customHeight="1">
      <c r="C6" s="538"/>
      <c r="D6" s="2"/>
      <c r="E6" s="2" t="s">
        <v>162</v>
      </c>
      <c r="F6" s="2"/>
      <c r="G6" s="260" t="s">
        <v>162</v>
      </c>
      <c r="H6" s="2"/>
      <c r="I6" s="260"/>
      <c r="J6" s="2"/>
      <c r="K6" s="2"/>
      <c r="L6" s="2"/>
      <c r="M6" s="2"/>
      <c r="N6" s="2"/>
      <c r="O6" s="2"/>
      <c r="P6" s="2"/>
      <c r="Q6" s="2"/>
      <c r="R6" s="2"/>
    </row>
    <row r="7" spans="3:17" ht="10.5" customHeight="1">
      <c r="C7" s="45"/>
      <c r="D7" s="45"/>
      <c r="E7" s="46" t="s">
        <v>98</v>
      </c>
      <c r="F7" s="46"/>
      <c r="G7" s="479" t="s">
        <v>99</v>
      </c>
      <c r="H7" s="46"/>
      <c r="I7" s="479" t="s">
        <v>100</v>
      </c>
      <c r="J7" s="46"/>
      <c r="K7" s="46" t="s">
        <v>91</v>
      </c>
      <c r="L7" s="46"/>
      <c r="M7" s="46" t="s">
        <v>103</v>
      </c>
      <c r="N7" s="46"/>
      <c r="O7" s="166" t="s">
        <v>389</v>
      </c>
      <c r="P7" s="46"/>
      <c r="Q7" s="46" t="s">
        <v>97</v>
      </c>
    </row>
    <row r="8" spans="4:18" ht="10.5" customHeight="1">
      <c r="D8" s="166"/>
      <c r="E8" s="166" t="s">
        <v>163</v>
      </c>
      <c r="F8" s="166"/>
      <c r="G8" s="480" t="s">
        <v>101</v>
      </c>
      <c r="H8" s="166"/>
      <c r="I8" s="480" t="s">
        <v>102</v>
      </c>
      <c r="J8" s="166"/>
      <c r="K8" s="166" t="s">
        <v>165</v>
      </c>
      <c r="L8" s="166"/>
      <c r="M8" s="166" t="s">
        <v>218</v>
      </c>
      <c r="N8" s="166"/>
      <c r="O8" s="166" t="s">
        <v>390</v>
      </c>
      <c r="P8" s="166"/>
      <c r="Q8" s="166" t="s">
        <v>103</v>
      </c>
      <c r="R8" s="166"/>
    </row>
    <row r="9" spans="3:18" ht="11.25">
      <c r="C9" s="387" t="s">
        <v>438</v>
      </c>
      <c r="D9" s="66"/>
      <c r="E9" s="11"/>
      <c r="F9" s="11"/>
      <c r="G9" s="481"/>
      <c r="H9" s="26"/>
      <c r="I9" s="482"/>
      <c r="J9" s="11"/>
      <c r="K9" s="11"/>
      <c r="L9" s="11"/>
      <c r="M9" s="11"/>
      <c r="N9" s="11"/>
      <c r="O9" s="11"/>
      <c r="P9" s="11"/>
      <c r="Q9" s="11"/>
      <c r="R9" s="69"/>
    </row>
    <row r="10" spans="3:17" ht="11.25" customHeight="1">
      <c r="C10" s="1" t="s">
        <v>131</v>
      </c>
      <c r="E10" s="39">
        <v>2236</v>
      </c>
      <c r="F10" s="47"/>
      <c r="G10" s="39">
        <v>1441</v>
      </c>
      <c r="H10" s="47"/>
      <c r="I10" s="39">
        <v>255</v>
      </c>
      <c r="J10" s="33"/>
      <c r="K10" s="60">
        <v>0</v>
      </c>
      <c r="L10" s="39"/>
      <c r="M10" s="39">
        <f>(E10+G10+I10+K10)</f>
        <v>3932</v>
      </c>
      <c r="N10" s="39"/>
      <c r="O10" s="39">
        <v>78</v>
      </c>
      <c r="P10" s="39"/>
      <c r="Q10" s="61">
        <f aca="true" t="shared" si="0" ref="Q10:Q16">M10+O10</f>
        <v>4010</v>
      </c>
    </row>
    <row r="11" spans="3:17" ht="11.25" customHeight="1">
      <c r="C11" s="1" t="s">
        <v>132</v>
      </c>
      <c r="E11" s="48">
        <v>1476</v>
      </c>
      <c r="F11" s="48"/>
      <c r="G11" s="48">
        <v>1059</v>
      </c>
      <c r="H11" s="48"/>
      <c r="I11" s="48">
        <v>251</v>
      </c>
      <c r="J11" s="48"/>
      <c r="K11" s="48">
        <v>0</v>
      </c>
      <c r="L11" s="48"/>
      <c r="M11" s="172">
        <f aca="true" t="shared" si="1" ref="M11:M16">(E11+G11+I11+K11)</f>
        <v>2786</v>
      </c>
      <c r="N11" s="48"/>
      <c r="O11" s="48">
        <v>78</v>
      </c>
      <c r="P11" s="48"/>
      <c r="Q11" s="173">
        <f t="shared" si="0"/>
        <v>2864</v>
      </c>
    </row>
    <row r="12" spans="3:17" ht="11.25" customHeight="1">
      <c r="C12" s="1" t="s">
        <v>133</v>
      </c>
      <c r="E12" s="48">
        <v>1471</v>
      </c>
      <c r="F12" s="48"/>
      <c r="G12" s="48">
        <v>1097</v>
      </c>
      <c r="H12" s="48"/>
      <c r="I12" s="48">
        <v>380</v>
      </c>
      <c r="J12" s="48"/>
      <c r="K12" s="48">
        <v>0</v>
      </c>
      <c r="L12" s="48"/>
      <c r="M12" s="172">
        <f t="shared" si="1"/>
        <v>2948</v>
      </c>
      <c r="N12" s="48"/>
      <c r="O12" s="48">
        <v>78</v>
      </c>
      <c r="P12" s="48"/>
      <c r="Q12" s="173">
        <f t="shared" si="0"/>
        <v>3026</v>
      </c>
    </row>
    <row r="13" spans="3:17" ht="11.25" customHeight="1">
      <c r="C13" s="1" t="s">
        <v>126</v>
      </c>
      <c r="E13" s="48">
        <v>1054</v>
      </c>
      <c r="F13" s="48"/>
      <c r="G13" s="48">
        <f>563+13</f>
        <v>576</v>
      </c>
      <c r="H13" s="48"/>
      <c r="I13" s="48">
        <v>194</v>
      </c>
      <c r="J13" s="48"/>
      <c r="K13" s="48">
        <v>0</v>
      </c>
      <c r="L13" s="48"/>
      <c r="M13" s="172">
        <f t="shared" si="1"/>
        <v>1824</v>
      </c>
      <c r="N13" s="48"/>
      <c r="O13" s="48">
        <v>0</v>
      </c>
      <c r="P13" s="48"/>
      <c r="Q13" s="173">
        <f t="shared" si="0"/>
        <v>1824</v>
      </c>
    </row>
    <row r="14" spans="3:17" ht="11.25" customHeight="1">
      <c r="C14" s="16" t="s">
        <v>125</v>
      </c>
      <c r="E14" s="48">
        <v>0</v>
      </c>
      <c r="F14" s="48"/>
      <c r="G14" s="48">
        <v>0</v>
      </c>
      <c r="H14" s="48"/>
      <c r="I14" s="48">
        <v>0</v>
      </c>
      <c r="J14" s="48"/>
      <c r="K14" s="48">
        <v>0</v>
      </c>
      <c r="L14" s="48"/>
      <c r="M14" s="172">
        <f t="shared" si="1"/>
        <v>0</v>
      </c>
      <c r="N14" s="48"/>
      <c r="O14" s="48">
        <v>32</v>
      </c>
      <c r="P14" s="48"/>
      <c r="Q14" s="173">
        <f t="shared" si="0"/>
        <v>32</v>
      </c>
    </row>
    <row r="15" spans="3:17" ht="11.25" customHeight="1">
      <c r="C15" s="1" t="s">
        <v>136</v>
      </c>
      <c r="E15" s="48">
        <v>122</v>
      </c>
      <c r="F15" s="48"/>
      <c r="G15" s="48">
        <v>226</v>
      </c>
      <c r="H15" s="48"/>
      <c r="I15" s="48">
        <v>76</v>
      </c>
      <c r="J15" s="48"/>
      <c r="K15" s="48">
        <v>0</v>
      </c>
      <c r="L15" s="48"/>
      <c r="M15" s="172">
        <f t="shared" si="1"/>
        <v>424</v>
      </c>
      <c r="N15" s="48"/>
      <c r="O15" s="48">
        <v>9</v>
      </c>
      <c r="P15" s="48"/>
      <c r="Q15" s="173">
        <f t="shared" si="0"/>
        <v>433</v>
      </c>
    </row>
    <row r="16" spans="3:17" ht="11.25" customHeight="1">
      <c r="C16" s="1" t="s">
        <v>134</v>
      </c>
      <c r="E16" s="48">
        <v>132</v>
      </c>
      <c r="F16" s="48"/>
      <c r="G16" s="48">
        <v>157</v>
      </c>
      <c r="H16" s="48"/>
      <c r="I16" s="48">
        <v>14</v>
      </c>
      <c r="J16" s="48"/>
      <c r="K16" s="48">
        <v>50</v>
      </c>
      <c r="L16" s="48"/>
      <c r="M16" s="172">
        <f t="shared" si="1"/>
        <v>353</v>
      </c>
      <c r="N16" s="48"/>
      <c r="O16" s="48">
        <v>12</v>
      </c>
      <c r="P16" s="48"/>
      <c r="Q16" s="173">
        <f t="shared" si="0"/>
        <v>365</v>
      </c>
    </row>
    <row r="17" spans="3:17" ht="11.25" customHeight="1">
      <c r="C17" s="1" t="s">
        <v>63</v>
      </c>
      <c r="E17" s="264">
        <f>E12-E13-E14-E15-E16</f>
        <v>163</v>
      </c>
      <c r="F17" s="264"/>
      <c r="G17" s="264">
        <f>G12-G13-G14-G15-G16</f>
        <v>138</v>
      </c>
      <c r="H17" s="264"/>
      <c r="I17" s="264">
        <f>I12-I13-I14-I15-I16</f>
        <v>96</v>
      </c>
      <c r="J17" s="264"/>
      <c r="K17" s="264">
        <f>K12-K13-K14-K15-K16</f>
        <v>-50</v>
      </c>
      <c r="L17" s="264"/>
      <c r="M17" s="264">
        <f>M12-M13-M14-M15-M16</f>
        <v>347</v>
      </c>
      <c r="N17" s="264"/>
      <c r="O17" s="264">
        <f>O12-O13-O14-O15-O16</f>
        <v>25</v>
      </c>
      <c r="P17" s="264"/>
      <c r="Q17" s="264">
        <f>Q12-Q13-Q14-Q15-Q16</f>
        <v>372</v>
      </c>
    </row>
    <row r="18" spans="5:17" ht="6.75" customHeight="1">
      <c r="E18" s="49"/>
      <c r="F18" s="49"/>
      <c r="G18" s="49"/>
      <c r="H18" s="50"/>
      <c r="I18" s="49"/>
      <c r="J18" s="49"/>
      <c r="K18" s="49"/>
      <c r="L18" s="49"/>
      <c r="M18" s="49"/>
      <c r="N18" s="49"/>
      <c r="O18" s="49"/>
      <c r="P18" s="49"/>
      <c r="Q18" s="49"/>
    </row>
    <row r="19" spans="3:17" ht="11.25" customHeight="1">
      <c r="C19" s="1" t="s">
        <v>128</v>
      </c>
      <c r="E19" s="48">
        <v>233</v>
      </c>
      <c r="F19" s="48"/>
      <c r="G19" s="48">
        <v>97</v>
      </c>
      <c r="H19" s="48"/>
      <c r="I19" s="48">
        <v>62</v>
      </c>
      <c r="J19" s="48"/>
      <c r="K19" s="48">
        <v>24</v>
      </c>
      <c r="L19" s="48"/>
      <c r="M19" s="172">
        <f>(E19+G19+I19+K19)</f>
        <v>416</v>
      </c>
      <c r="N19" s="48"/>
      <c r="O19" s="48">
        <v>12</v>
      </c>
      <c r="P19" s="48"/>
      <c r="Q19" s="173">
        <f>M19+O19</f>
        <v>428</v>
      </c>
    </row>
    <row r="20" spans="3:19" ht="11.25" customHeight="1">
      <c r="C20" s="176" t="s">
        <v>173</v>
      </c>
      <c r="D20" s="176"/>
      <c r="E20" s="216">
        <v>-11</v>
      </c>
      <c r="F20" s="216"/>
      <c r="G20" s="216">
        <v>8</v>
      </c>
      <c r="H20" s="216"/>
      <c r="I20" s="216">
        <v>17</v>
      </c>
      <c r="J20" s="216"/>
      <c r="K20" s="216">
        <v>14</v>
      </c>
      <c r="L20" s="216"/>
      <c r="M20" s="172">
        <f>(E20+G20+I20+K20)</f>
        <v>28</v>
      </c>
      <c r="N20" s="216"/>
      <c r="O20" s="216">
        <v>-13</v>
      </c>
      <c r="P20" s="216"/>
      <c r="Q20" s="173">
        <f>M20+O20</f>
        <v>15</v>
      </c>
      <c r="R20" s="176"/>
      <c r="S20" s="176"/>
    </row>
    <row r="21" spans="3:20" ht="11.25" customHeight="1">
      <c r="C21" s="1" t="s">
        <v>146</v>
      </c>
      <c r="E21" s="48">
        <v>0</v>
      </c>
      <c r="F21" s="48"/>
      <c r="G21" s="48">
        <v>0</v>
      </c>
      <c r="H21" s="48"/>
      <c r="I21" s="48">
        <v>0</v>
      </c>
      <c r="J21" s="48"/>
      <c r="K21" s="48">
        <v>42</v>
      </c>
      <c r="L21" s="48"/>
      <c r="M21" s="172">
        <f>(E21+G21+I21+K21)</f>
        <v>42</v>
      </c>
      <c r="N21" s="48"/>
      <c r="O21" s="48">
        <v>0</v>
      </c>
      <c r="P21" s="48"/>
      <c r="Q21" s="173">
        <f>M21+O21</f>
        <v>42</v>
      </c>
      <c r="S21" s="44"/>
      <c r="T21" s="268"/>
    </row>
    <row r="22" spans="3:17" ht="11.25" customHeight="1">
      <c r="C22" s="1" t="s">
        <v>265</v>
      </c>
      <c r="D22" s="44"/>
      <c r="E22" s="48">
        <v>-13</v>
      </c>
      <c r="F22" s="48"/>
      <c r="G22" s="48">
        <f>20-13</f>
        <v>7</v>
      </c>
      <c r="H22" s="48"/>
      <c r="I22" s="48">
        <v>2</v>
      </c>
      <c r="J22" s="48"/>
      <c r="K22" s="48">
        <v>-12</v>
      </c>
      <c r="L22" s="48"/>
      <c r="M22" s="172">
        <f>(E22+G22+I22+K22)</f>
        <v>-16</v>
      </c>
      <c r="N22" s="48"/>
      <c r="O22" s="48">
        <v>0</v>
      </c>
      <c r="P22" s="48"/>
      <c r="Q22" s="173">
        <f>M22+O22</f>
        <v>-16</v>
      </c>
    </row>
    <row r="23" spans="3:17" ht="11.25" customHeight="1">
      <c r="C23" s="1" t="s">
        <v>158</v>
      </c>
      <c r="E23" s="48">
        <v>89</v>
      </c>
      <c r="F23" s="48"/>
      <c r="G23" s="48">
        <v>43</v>
      </c>
      <c r="H23" s="48"/>
      <c r="I23" s="48">
        <v>9</v>
      </c>
      <c r="J23" s="48"/>
      <c r="K23" s="48">
        <v>-12</v>
      </c>
      <c r="L23" s="48"/>
      <c r="M23" s="172">
        <f>(E23+G23+I23+K23)</f>
        <v>129</v>
      </c>
      <c r="N23" s="48"/>
      <c r="O23" s="48">
        <v>-5</v>
      </c>
      <c r="P23" s="48"/>
      <c r="Q23" s="173">
        <f>M23+O23</f>
        <v>124</v>
      </c>
    </row>
    <row r="24" spans="3:19" ht="11.25" customHeight="1">
      <c r="C24" s="176" t="s">
        <v>64</v>
      </c>
      <c r="D24" s="205"/>
      <c r="E24" s="265">
        <f>+E17+E19-E22-E21-E23+E20</f>
        <v>309</v>
      </c>
      <c r="F24" s="265"/>
      <c r="G24" s="265">
        <f>+G17+G19-G22-G21-G23+G20</f>
        <v>193</v>
      </c>
      <c r="H24" s="265"/>
      <c r="I24" s="265">
        <f>+I17+I19-I22-I21-I23+I20</f>
        <v>164</v>
      </c>
      <c r="J24" s="265"/>
      <c r="K24" s="265">
        <f>+K17+K19-K22-K21-K23+K20</f>
        <v>-30</v>
      </c>
      <c r="L24" s="265"/>
      <c r="M24" s="265">
        <f>+M17+M19-M22-M21-M23+M20</f>
        <v>636</v>
      </c>
      <c r="N24" s="265"/>
      <c r="O24" s="265">
        <f>+O17+O19-O22-O21-O23+O20</f>
        <v>29</v>
      </c>
      <c r="P24" s="265"/>
      <c r="Q24" s="265">
        <f>+Q17+Q19-Q22-Q21-Q23+Q20</f>
        <v>665</v>
      </c>
      <c r="R24" s="176"/>
      <c r="S24" s="176"/>
    </row>
    <row r="25" spans="3:19" ht="5.25" customHeight="1">
      <c r="C25" s="205"/>
      <c r="D25" s="205"/>
      <c r="E25" s="218"/>
      <c r="F25" s="218"/>
      <c r="G25" s="218"/>
      <c r="H25" s="218"/>
      <c r="I25" s="218"/>
      <c r="J25" s="218"/>
      <c r="K25" s="218"/>
      <c r="L25" s="218"/>
      <c r="M25" s="218"/>
      <c r="N25" s="218"/>
      <c r="O25" s="218"/>
      <c r="P25" s="218"/>
      <c r="Q25" s="218"/>
      <c r="R25" s="176"/>
      <c r="S25" s="176"/>
    </row>
    <row r="26" spans="3:19" ht="11.25" customHeight="1">
      <c r="C26" s="176" t="s">
        <v>173</v>
      </c>
      <c r="D26" s="176"/>
      <c r="E26" s="216">
        <f>+E20</f>
        <v>-11</v>
      </c>
      <c r="F26" s="216"/>
      <c r="G26" s="216">
        <f>+G20</f>
        <v>8</v>
      </c>
      <c r="H26" s="216"/>
      <c r="I26" s="216">
        <f>+I20</f>
        <v>17</v>
      </c>
      <c r="J26" s="216"/>
      <c r="K26" s="216">
        <f>+K20</f>
        <v>14</v>
      </c>
      <c r="L26" s="216"/>
      <c r="M26" s="216">
        <f>(E26+G26+I26+K26)</f>
        <v>28</v>
      </c>
      <c r="N26" s="216"/>
      <c r="O26" s="216">
        <f>+O20</f>
        <v>-13</v>
      </c>
      <c r="P26" s="216"/>
      <c r="Q26" s="216">
        <f>M26+O26</f>
        <v>15</v>
      </c>
      <c r="R26" s="176"/>
      <c r="S26" s="176"/>
    </row>
    <row r="27" spans="3:19" ht="11.25" customHeight="1">
      <c r="C27" s="177" t="s">
        <v>266</v>
      </c>
      <c r="D27" s="177"/>
      <c r="E27" s="216">
        <v>-16</v>
      </c>
      <c r="F27" s="216"/>
      <c r="G27" s="216">
        <v>2</v>
      </c>
      <c r="H27" s="216"/>
      <c r="I27" s="216">
        <v>1</v>
      </c>
      <c r="J27" s="216"/>
      <c r="K27" s="216">
        <v>6</v>
      </c>
      <c r="L27" s="216"/>
      <c r="M27" s="173">
        <f>(E27+G27+I27+K27)</f>
        <v>-7</v>
      </c>
      <c r="N27" s="216"/>
      <c r="O27" s="216">
        <v>0</v>
      </c>
      <c r="P27" s="216"/>
      <c r="Q27" s="173">
        <f>M27+O27</f>
        <v>-7</v>
      </c>
      <c r="R27" s="176"/>
      <c r="S27" s="176"/>
    </row>
    <row r="28" spans="3:19" ht="13.5" customHeight="1" thickBot="1">
      <c r="C28" s="177" t="s">
        <v>268</v>
      </c>
      <c r="D28" s="176"/>
      <c r="E28" s="217">
        <f>E24-E26+E27</f>
        <v>304</v>
      </c>
      <c r="F28" s="198"/>
      <c r="G28" s="217">
        <f>G24-G26+G27</f>
        <v>187</v>
      </c>
      <c r="H28" s="217"/>
      <c r="I28" s="217">
        <f>I24-I26+I27</f>
        <v>148</v>
      </c>
      <c r="J28" s="198"/>
      <c r="K28" s="217">
        <f>K24-K26+K27</f>
        <v>-38</v>
      </c>
      <c r="L28" s="198"/>
      <c r="M28" s="217">
        <f>M24-M26+M27</f>
        <v>601</v>
      </c>
      <c r="N28" s="198"/>
      <c r="O28" s="217">
        <f>O24-O26+O27</f>
        <v>42</v>
      </c>
      <c r="P28" s="198"/>
      <c r="Q28" s="217">
        <f>Q24-Q26+Q27</f>
        <v>643</v>
      </c>
      <c r="R28" s="176"/>
      <c r="S28" s="176"/>
    </row>
    <row r="29" spans="3:18" ht="7.5" customHeight="1" thickTop="1">
      <c r="C29" s="176"/>
      <c r="D29" s="176"/>
      <c r="E29" s="219"/>
      <c r="F29" s="219"/>
      <c r="G29" s="218"/>
      <c r="H29" s="218"/>
      <c r="I29" s="219"/>
      <c r="J29" s="219"/>
      <c r="K29" s="219"/>
      <c r="L29" s="219"/>
      <c r="M29" s="219"/>
      <c r="N29" s="219"/>
      <c r="O29" s="219"/>
      <c r="P29" s="219"/>
      <c r="Q29" s="219"/>
      <c r="R29" s="176"/>
    </row>
    <row r="30" spans="3:18" ht="11.25">
      <c r="C30" s="387" t="s">
        <v>437</v>
      </c>
      <c r="D30" s="67"/>
      <c r="E30" s="87"/>
      <c r="F30" s="87"/>
      <c r="G30" s="377"/>
      <c r="H30" s="377"/>
      <c r="I30" s="87"/>
      <c r="J30" s="87"/>
      <c r="K30" s="87"/>
      <c r="L30" s="87"/>
      <c r="M30" s="87"/>
      <c r="N30" s="87"/>
      <c r="O30" s="87"/>
      <c r="P30" s="87"/>
      <c r="Q30" s="87"/>
      <c r="R30" s="7"/>
    </row>
    <row r="31" spans="3:17" ht="11.25" customHeight="1">
      <c r="C31" s="1" t="s">
        <v>131</v>
      </c>
      <c r="E31" s="47">
        <v>2056</v>
      </c>
      <c r="F31" s="47"/>
      <c r="G31" s="47">
        <v>1388</v>
      </c>
      <c r="H31" s="548"/>
      <c r="I31" s="47">
        <v>283</v>
      </c>
      <c r="J31" s="549"/>
      <c r="K31" s="47">
        <v>0</v>
      </c>
      <c r="L31" s="39"/>
      <c r="M31" s="39">
        <f>E31+G31+I31+K31</f>
        <v>3727</v>
      </c>
      <c r="N31" s="39"/>
      <c r="O31" s="47">
        <v>67</v>
      </c>
      <c r="P31" s="39"/>
      <c r="Q31" s="61">
        <f aca="true" t="shared" si="2" ref="Q31:Q37">M31+O31</f>
        <v>3794</v>
      </c>
    </row>
    <row r="32" spans="3:17" ht="11.25" customHeight="1">
      <c r="C32" s="1" t="s">
        <v>132</v>
      </c>
      <c r="E32" s="48">
        <v>1271</v>
      </c>
      <c r="F32" s="48"/>
      <c r="G32" s="48">
        <v>1014</v>
      </c>
      <c r="H32" s="547"/>
      <c r="I32" s="48">
        <v>276</v>
      </c>
      <c r="J32" s="547"/>
      <c r="K32" s="48">
        <v>0</v>
      </c>
      <c r="L32" s="48"/>
      <c r="M32" s="172">
        <f>(E32+G32+I32+K32)</f>
        <v>2561</v>
      </c>
      <c r="N32" s="48"/>
      <c r="O32" s="48">
        <v>67</v>
      </c>
      <c r="P32" s="48"/>
      <c r="Q32" s="173">
        <f t="shared" si="2"/>
        <v>2628</v>
      </c>
    </row>
    <row r="33" spans="3:17" ht="11.25" customHeight="1">
      <c r="C33" s="1" t="s">
        <v>133</v>
      </c>
      <c r="E33" s="48">
        <v>1349</v>
      </c>
      <c r="F33" s="48"/>
      <c r="G33" s="48">
        <v>1048</v>
      </c>
      <c r="H33" s="547"/>
      <c r="I33" s="48">
        <v>395</v>
      </c>
      <c r="J33" s="547"/>
      <c r="K33" s="48">
        <v>0</v>
      </c>
      <c r="L33" s="48"/>
      <c r="M33" s="172">
        <f>(E33+G33+I33+K33)</f>
        <v>2792</v>
      </c>
      <c r="N33" s="48"/>
      <c r="O33" s="48">
        <v>67</v>
      </c>
      <c r="P33" s="48"/>
      <c r="Q33" s="173">
        <f t="shared" si="2"/>
        <v>2859</v>
      </c>
    </row>
    <row r="34" spans="3:17" ht="11.25" customHeight="1">
      <c r="C34" s="1" t="s">
        <v>126</v>
      </c>
      <c r="E34" s="48">
        <v>1101</v>
      </c>
      <c r="F34" s="48"/>
      <c r="G34" s="48">
        <v>679</v>
      </c>
      <c r="H34" s="547"/>
      <c r="I34" s="48">
        <v>354</v>
      </c>
      <c r="J34" s="547"/>
      <c r="K34" s="48">
        <v>1</v>
      </c>
      <c r="L34" s="48"/>
      <c r="M34" s="172">
        <f>(E34+G34+I34+K34)</f>
        <v>2135</v>
      </c>
      <c r="N34" s="48"/>
      <c r="O34" s="48">
        <v>0</v>
      </c>
      <c r="P34" s="48"/>
      <c r="Q34" s="173">
        <f t="shared" si="2"/>
        <v>2135</v>
      </c>
    </row>
    <row r="35" spans="3:17" ht="11.25" customHeight="1">
      <c r="C35" s="16" t="s">
        <v>125</v>
      </c>
      <c r="E35" s="55">
        <v>0</v>
      </c>
      <c r="F35" s="48"/>
      <c r="G35" s="55">
        <v>0</v>
      </c>
      <c r="H35" s="547"/>
      <c r="I35" s="55">
        <v>0</v>
      </c>
      <c r="J35" s="547"/>
      <c r="K35" s="55">
        <v>0</v>
      </c>
      <c r="L35" s="48"/>
      <c r="M35" s="172">
        <f>(E35+G35+I35+K35)</f>
        <v>0</v>
      </c>
      <c r="N35" s="48"/>
      <c r="O35" s="55">
        <v>35</v>
      </c>
      <c r="P35" s="48"/>
      <c r="Q35" s="173">
        <f t="shared" si="2"/>
        <v>35</v>
      </c>
    </row>
    <row r="36" spans="3:17" ht="11.25" customHeight="1">
      <c r="C36" s="1" t="s">
        <v>136</v>
      </c>
      <c r="E36" s="48">
        <v>117</v>
      </c>
      <c r="F36" s="48"/>
      <c r="G36" s="48">
        <v>224</v>
      </c>
      <c r="H36" s="547"/>
      <c r="I36" s="48">
        <v>77</v>
      </c>
      <c r="J36" s="547"/>
      <c r="K36" s="48">
        <v>0</v>
      </c>
      <c r="L36" s="48"/>
      <c r="M36" s="172">
        <f>(E36+G36+I36+K36)</f>
        <v>418</v>
      </c>
      <c r="N36" s="48"/>
      <c r="O36" s="48">
        <v>7</v>
      </c>
      <c r="P36" s="48"/>
      <c r="Q36" s="173">
        <f t="shared" si="2"/>
        <v>425</v>
      </c>
    </row>
    <row r="37" spans="3:17" ht="11.25" customHeight="1">
      <c r="C37" s="1" t="s">
        <v>134</v>
      </c>
      <c r="E37" s="48">
        <v>95</v>
      </c>
      <c r="F37" s="48"/>
      <c r="G37" s="48">
        <v>137</v>
      </c>
      <c r="H37" s="547"/>
      <c r="I37" s="48">
        <v>13</v>
      </c>
      <c r="J37" s="547"/>
      <c r="K37" s="48">
        <v>48</v>
      </c>
      <c r="L37" s="48"/>
      <c r="M37" s="172">
        <f>E37+G37+I37+K37</f>
        <v>293</v>
      </c>
      <c r="N37" s="48"/>
      <c r="O37" s="48">
        <v>8</v>
      </c>
      <c r="P37" s="48"/>
      <c r="Q37" s="173">
        <f t="shared" si="2"/>
        <v>301</v>
      </c>
    </row>
    <row r="38" spans="3:17" ht="11.25" customHeight="1">
      <c r="C38" s="1" t="s">
        <v>63</v>
      </c>
      <c r="E38" s="264">
        <f>E33-E34-E35-E36-E37</f>
        <v>36</v>
      </c>
      <c r="F38" s="264"/>
      <c r="G38" s="264">
        <f>G33-G34-G35-G36-G37</f>
        <v>8</v>
      </c>
      <c r="H38" s="264"/>
      <c r="I38" s="264">
        <f>I33-I34-I35-I36-I37</f>
        <v>-49</v>
      </c>
      <c r="J38" s="264"/>
      <c r="K38" s="264">
        <f>K33-K34-K35-K36-K37</f>
        <v>-49</v>
      </c>
      <c r="L38" s="264"/>
      <c r="M38" s="264">
        <f>M33-M34-M35-M36-M37</f>
        <v>-54</v>
      </c>
      <c r="N38" s="264"/>
      <c r="O38" s="264">
        <f>O33-O34-O35-O36-O37</f>
        <v>17</v>
      </c>
      <c r="P38" s="264"/>
      <c r="Q38" s="264">
        <f>Q33-Q34-Q35-Q36-Q37</f>
        <v>-37</v>
      </c>
    </row>
    <row r="39" spans="5:17" ht="6" customHeight="1">
      <c r="E39" s="49"/>
      <c r="F39" s="49"/>
      <c r="G39" s="50"/>
      <c r="H39" s="50"/>
      <c r="I39" s="49"/>
      <c r="J39" s="49"/>
      <c r="K39" s="49"/>
      <c r="L39" s="49"/>
      <c r="M39" s="49"/>
      <c r="N39" s="49"/>
      <c r="O39" s="49"/>
      <c r="P39" s="49"/>
      <c r="Q39" s="49"/>
    </row>
    <row r="40" spans="3:17" ht="11.25" customHeight="1">
      <c r="C40" s="1" t="s">
        <v>128</v>
      </c>
      <c r="E40" s="48">
        <v>189</v>
      </c>
      <c r="F40" s="48"/>
      <c r="G40" s="48">
        <v>83</v>
      </c>
      <c r="H40" s="48"/>
      <c r="I40" s="48">
        <v>49</v>
      </c>
      <c r="J40" s="48"/>
      <c r="K40" s="48">
        <v>26</v>
      </c>
      <c r="L40" s="48"/>
      <c r="M40" s="172">
        <f>(E40+G40+I40+K40)</f>
        <v>347</v>
      </c>
      <c r="N40" s="48"/>
      <c r="O40" s="48">
        <v>7</v>
      </c>
      <c r="P40" s="48"/>
      <c r="Q40" s="173">
        <f>M40+O40</f>
        <v>354</v>
      </c>
    </row>
    <row r="41" spans="3:19" ht="11.25" customHeight="1">
      <c r="C41" s="176" t="s">
        <v>173</v>
      </c>
      <c r="D41" s="176"/>
      <c r="E41" s="216">
        <v>-14</v>
      </c>
      <c r="F41" s="216"/>
      <c r="G41" s="216">
        <v>-18</v>
      </c>
      <c r="H41" s="216"/>
      <c r="I41" s="216">
        <v>-11</v>
      </c>
      <c r="J41" s="216"/>
      <c r="K41" s="216">
        <v>15</v>
      </c>
      <c r="L41" s="216"/>
      <c r="M41" s="172">
        <f>(E41+G41+I41+K41)</f>
        <v>-28</v>
      </c>
      <c r="N41" s="216"/>
      <c r="O41" s="216">
        <v>3</v>
      </c>
      <c r="P41" s="216"/>
      <c r="Q41" s="173">
        <f>M41+O41</f>
        <v>-25</v>
      </c>
      <c r="R41" s="176"/>
      <c r="S41" s="176"/>
    </row>
    <row r="42" spans="3:17" ht="11.25" customHeight="1">
      <c r="C42" s="1" t="s">
        <v>146</v>
      </c>
      <c r="E42" s="48">
        <v>0</v>
      </c>
      <c r="F42" s="48"/>
      <c r="G42" s="48">
        <v>0</v>
      </c>
      <c r="H42" s="48"/>
      <c r="I42" s="48">
        <v>1</v>
      </c>
      <c r="J42" s="48"/>
      <c r="K42" s="48">
        <v>45</v>
      </c>
      <c r="L42" s="48"/>
      <c r="M42" s="172">
        <f>(E42+G42+I42+K42)</f>
        <v>46</v>
      </c>
      <c r="N42" s="48"/>
      <c r="O42" s="48">
        <v>0</v>
      </c>
      <c r="P42" s="48"/>
      <c r="Q42" s="173">
        <f>M42+O42</f>
        <v>46</v>
      </c>
    </row>
    <row r="43" spans="3:17" ht="11.25" customHeight="1">
      <c r="C43" s="1" t="s">
        <v>265</v>
      </c>
      <c r="E43" s="48">
        <v>18</v>
      </c>
      <c r="F43" s="48"/>
      <c r="G43" s="48">
        <v>0</v>
      </c>
      <c r="H43" s="48"/>
      <c r="I43" s="48">
        <v>3</v>
      </c>
      <c r="J43" s="48"/>
      <c r="K43" s="48">
        <v>-15</v>
      </c>
      <c r="L43" s="48"/>
      <c r="M43" s="172">
        <f>(E43+G43+I43+K43)</f>
        <v>6</v>
      </c>
      <c r="N43" s="48"/>
      <c r="O43" s="48">
        <v>0</v>
      </c>
      <c r="P43" s="48"/>
      <c r="Q43" s="173">
        <f>M43+O43</f>
        <v>6</v>
      </c>
    </row>
    <row r="44" spans="3:17" ht="11.25" customHeight="1">
      <c r="C44" s="1" t="s">
        <v>158</v>
      </c>
      <c r="E44" s="48">
        <v>35</v>
      </c>
      <c r="F44" s="48"/>
      <c r="G44" s="48">
        <v>-17</v>
      </c>
      <c r="H44" s="48"/>
      <c r="I44" s="48">
        <v>5</v>
      </c>
      <c r="J44" s="48"/>
      <c r="K44" s="48">
        <v>-19</v>
      </c>
      <c r="L44" s="48"/>
      <c r="M44" s="172">
        <f>(E44+G44+I44+K44)</f>
        <v>4</v>
      </c>
      <c r="N44" s="48"/>
      <c r="O44" s="48">
        <v>0</v>
      </c>
      <c r="P44" s="48"/>
      <c r="Q44" s="173">
        <f>M44+O44</f>
        <v>4</v>
      </c>
    </row>
    <row r="45" spans="3:19" ht="11.25" customHeight="1">
      <c r="C45" s="176" t="s">
        <v>64</v>
      </c>
      <c r="D45" s="205"/>
      <c r="E45" s="265">
        <f>E38+E40+E41-E42-E43-E44</f>
        <v>158</v>
      </c>
      <c r="F45" s="265"/>
      <c r="G45" s="265">
        <f>G38+G40+G41-G42-G43-G44</f>
        <v>90</v>
      </c>
      <c r="H45" s="265"/>
      <c r="I45" s="265">
        <f>I38+I40+I41-I42-I43-I44</f>
        <v>-20</v>
      </c>
      <c r="J45" s="265"/>
      <c r="K45" s="265">
        <f>K38+K40+K41-K42-K43-K44</f>
        <v>-19</v>
      </c>
      <c r="L45" s="265"/>
      <c r="M45" s="265">
        <f>M38+M40+M41-M42-M43-M44</f>
        <v>209</v>
      </c>
      <c r="N45" s="265"/>
      <c r="O45" s="265">
        <f>O38+O40+O41-O42-O43-O44</f>
        <v>27</v>
      </c>
      <c r="P45" s="265"/>
      <c r="Q45" s="265">
        <f>Q38+Q40+Q41-Q42-Q43-Q44</f>
        <v>236</v>
      </c>
      <c r="R45" s="176"/>
      <c r="S45" s="176"/>
    </row>
    <row r="46" spans="3:19" ht="6" customHeight="1">
      <c r="C46" s="205"/>
      <c r="D46" s="205"/>
      <c r="E46" s="218"/>
      <c r="F46" s="218"/>
      <c r="G46" s="218"/>
      <c r="H46" s="218"/>
      <c r="I46" s="218"/>
      <c r="J46" s="218"/>
      <c r="K46" s="218"/>
      <c r="L46" s="218"/>
      <c r="M46" s="218"/>
      <c r="N46" s="218"/>
      <c r="O46" s="218"/>
      <c r="P46" s="218"/>
      <c r="Q46" s="218"/>
      <c r="R46" s="176"/>
      <c r="S46" s="176"/>
    </row>
    <row r="47" spans="3:19" ht="11.25" customHeight="1">
      <c r="C47" s="176" t="s">
        <v>173</v>
      </c>
      <c r="D47" s="176"/>
      <c r="E47" s="216">
        <v>-14</v>
      </c>
      <c r="F47" s="216"/>
      <c r="G47" s="216">
        <v>-18</v>
      </c>
      <c r="H47" s="216"/>
      <c r="I47" s="216">
        <v>-11</v>
      </c>
      <c r="J47" s="216"/>
      <c r="K47" s="216">
        <v>15</v>
      </c>
      <c r="L47" s="216"/>
      <c r="M47" s="216">
        <f>(E47+G47+I47+K47)</f>
        <v>-28</v>
      </c>
      <c r="N47" s="216"/>
      <c r="O47" s="216">
        <v>3</v>
      </c>
      <c r="P47" s="216"/>
      <c r="Q47" s="216">
        <f>M47+O47</f>
        <v>-25</v>
      </c>
      <c r="R47" s="176"/>
      <c r="S47" s="176"/>
    </row>
    <row r="48" spans="3:19" ht="11.25" customHeight="1">
      <c r="C48" s="177" t="s">
        <v>266</v>
      </c>
      <c r="D48" s="177"/>
      <c r="E48" s="55">
        <v>-9</v>
      </c>
      <c r="F48" s="216"/>
      <c r="G48" s="216">
        <v>-4</v>
      </c>
      <c r="H48" s="216"/>
      <c r="I48" s="216">
        <v>-1</v>
      </c>
      <c r="J48" s="216"/>
      <c r="K48" s="216">
        <v>-3</v>
      </c>
      <c r="L48" s="216"/>
      <c r="M48" s="172">
        <f>(E48+G48+I48+K48)</f>
        <v>-17</v>
      </c>
      <c r="N48" s="216"/>
      <c r="O48" s="216">
        <v>0</v>
      </c>
      <c r="P48" s="216"/>
      <c r="Q48" s="173">
        <f>M48+O48</f>
        <v>-17</v>
      </c>
      <c r="R48" s="176"/>
      <c r="S48" s="176"/>
    </row>
    <row r="49" spans="3:19" ht="13.5" customHeight="1" thickBot="1">
      <c r="C49" s="177" t="s">
        <v>268</v>
      </c>
      <c r="D49" s="176"/>
      <c r="E49" s="217">
        <f>E45-E47+E48</f>
        <v>163</v>
      </c>
      <c r="F49" s="198"/>
      <c r="G49" s="217">
        <f>G45-G47+G48</f>
        <v>104</v>
      </c>
      <c r="H49" s="217"/>
      <c r="I49" s="217">
        <f>I45-I47+I48</f>
        <v>-10</v>
      </c>
      <c r="J49" s="198"/>
      <c r="K49" s="217">
        <f>K45-K47+K48</f>
        <v>-37</v>
      </c>
      <c r="L49" s="198"/>
      <c r="M49" s="217">
        <f>M45-M47+M48</f>
        <v>220</v>
      </c>
      <c r="N49" s="198"/>
      <c r="O49" s="217">
        <f>O45-O47+O48</f>
        <v>24</v>
      </c>
      <c r="P49" s="198"/>
      <c r="Q49" s="217">
        <f>Q45-Q47+Q48</f>
        <v>244</v>
      </c>
      <c r="R49" s="176"/>
      <c r="S49" s="176"/>
    </row>
    <row r="50" spans="3:17" ht="11.25" customHeight="1" thickTop="1">
      <c r="C50" s="571" t="str">
        <f>+'Financial Highlights'!C48</f>
        <v>(1) See page 25 Non-GAAP Financial Measures.</v>
      </c>
      <c r="D50" s="44"/>
      <c r="E50" s="53"/>
      <c r="F50" s="52"/>
      <c r="G50" s="53"/>
      <c r="H50" s="53"/>
      <c r="I50" s="52"/>
      <c r="J50" s="52"/>
      <c r="K50" s="34"/>
      <c r="L50" s="34"/>
      <c r="M50" s="52"/>
      <c r="N50" s="52"/>
      <c r="O50" s="52"/>
      <c r="P50" s="52"/>
      <c r="Q50" s="52"/>
    </row>
    <row r="51" spans="5:17" ht="11.25">
      <c r="E51" s="378"/>
      <c r="F51" s="42"/>
      <c r="H51" s="378"/>
      <c r="J51" s="42"/>
      <c r="K51" s="42"/>
      <c r="L51" s="42"/>
      <c r="M51" s="42"/>
      <c r="N51" s="42"/>
      <c r="O51" s="42"/>
      <c r="P51" s="42"/>
      <c r="Q51" s="44"/>
    </row>
    <row r="52" spans="5:17" ht="11.25">
      <c r="E52" s="42"/>
      <c r="F52" s="42"/>
      <c r="H52" s="378"/>
      <c r="J52" s="42"/>
      <c r="K52" s="42"/>
      <c r="L52" s="42"/>
      <c r="M52" s="42"/>
      <c r="N52" s="42"/>
      <c r="O52" s="42"/>
      <c r="P52" s="42"/>
      <c r="Q52" s="44"/>
    </row>
    <row r="53" spans="3:17" ht="11.25">
      <c r="C53" s="82" t="s">
        <v>446</v>
      </c>
      <c r="E53" s="42"/>
      <c r="F53" s="42"/>
      <c r="H53" s="378"/>
      <c r="J53" s="42"/>
      <c r="K53" s="42"/>
      <c r="L53" s="42"/>
      <c r="M53" s="42"/>
      <c r="N53" s="42"/>
      <c r="O53" s="42"/>
      <c r="P53" s="42"/>
      <c r="Q53" s="44"/>
    </row>
    <row r="54" spans="3:17" ht="11.25" customHeight="1">
      <c r="C54" s="1" t="s">
        <v>130</v>
      </c>
      <c r="E54" s="17">
        <v>0.717</v>
      </c>
      <c r="F54" s="17"/>
      <c r="G54" s="17">
        <v>0.525</v>
      </c>
      <c r="H54" s="27"/>
      <c r="I54" s="17">
        <v>0.509</v>
      </c>
      <c r="J54" s="17"/>
      <c r="K54" s="52"/>
      <c r="L54" s="52"/>
      <c r="M54" s="17">
        <v>0.618</v>
      </c>
      <c r="N54" s="52"/>
      <c r="O54" s="263"/>
      <c r="P54"/>
      <c r="Q54" s="17">
        <v>0.618</v>
      </c>
    </row>
    <row r="55" spans="3:17" ht="11.25" customHeight="1">
      <c r="C55" s="1" t="s">
        <v>137</v>
      </c>
      <c r="E55" s="17">
        <v>0.083</v>
      </c>
      <c r="F55" s="17"/>
      <c r="G55" s="17">
        <v>0.206</v>
      </c>
      <c r="H55" s="27"/>
      <c r="I55" s="17">
        <v>0.201</v>
      </c>
      <c r="J55" s="17"/>
      <c r="K55" s="52"/>
      <c r="L55" s="52"/>
      <c r="M55" s="17">
        <v>0.144</v>
      </c>
      <c r="N55" s="52"/>
      <c r="O55" s="263"/>
      <c r="P55"/>
      <c r="Q55" s="17">
        <v>0.144</v>
      </c>
    </row>
    <row r="56" spans="3:17" ht="11.25" customHeight="1">
      <c r="C56" s="1" t="s">
        <v>145</v>
      </c>
      <c r="E56" s="19">
        <v>0.089</v>
      </c>
      <c r="F56" s="19"/>
      <c r="G56" s="19">
        <v>0.143</v>
      </c>
      <c r="H56" s="28"/>
      <c r="I56" s="19">
        <v>0.037</v>
      </c>
      <c r="J56" s="18"/>
      <c r="K56" s="52"/>
      <c r="L56" s="52"/>
      <c r="M56" s="19">
        <v>0.12</v>
      </c>
      <c r="N56" s="52"/>
      <c r="O56" s="263"/>
      <c r="P56" s="263"/>
      <c r="Q56" s="19">
        <v>0.12</v>
      </c>
    </row>
    <row r="57" spans="3:18" ht="11.25" customHeight="1" thickBot="1">
      <c r="C57" s="7" t="s">
        <v>59</v>
      </c>
      <c r="D57" s="7"/>
      <c r="E57" s="184">
        <f>SUM(E54:E56)</f>
        <v>0.8889999999999999</v>
      </c>
      <c r="F57" s="184"/>
      <c r="G57" s="184">
        <f>SUM(G54:G56)</f>
        <v>0.874</v>
      </c>
      <c r="H57" s="194"/>
      <c r="I57" s="184">
        <f>SUM(I54:I56)</f>
        <v>0.747</v>
      </c>
      <c r="J57" s="18"/>
      <c r="K57" s="52"/>
      <c r="L57" s="52"/>
      <c r="M57" s="184">
        <f>SUM(M54:M56)</f>
        <v>0.882</v>
      </c>
      <c r="N57" s="184"/>
      <c r="O57" s="263"/>
      <c r="P57"/>
      <c r="Q57" s="184">
        <f>SUM(Q54:Q56)</f>
        <v>0.882</v>
      </c>
      <c r="R57" s="166"/>
    </row>
    <row r="58" spans="15:16" ht="13.5" thickTop="1">
      <c r="O58"/>
      <c r="P58"/>
    </row>
  </sheetData>
  <sheetProtection objects="1"/>
  <conditionalFormatting sqref="E47 G47 I47 K47 M47 Q47 E26 G26 I26 K26 Q26 M26 O47 O26">
    <cfRule type="cellIs" priority="1" dxfId="1" operator="notEqual" stopIfTrue="1">
      <formula>E20</formula>
    </cfRule>
  </conditionalFormatting>
  <hyperlinks>
    <hyperlink ref="C50" location="'Reconciliation Non-GAAP'!Print_Area" display="'Reconciliation Non-GAAP'!Print_Area"/>
  </hyperlinks>
  <printOptions/>
  <pageMargins left="0.5" right="0.5" top="0.5" bottom="0.4" header="0.75" footer="0.25"/>
  <pageSetup horizontalDpi="600" verticalDpi="600" orientation="landscape" r:id="rId2"/>
  <headerFooter alignWithMargins="0">
    <oddFooter>&amp;L&amp;A&amp;R&amp;"Arial,Regular"&amp;8Page 6</oddFooter>
  </headerFooter>
  <drawing r:id="rId1"/>
</worksheet>
</file>

<file path=xl/worksheets/sheet9.xml><?xml version="1.0" encoding="utf-8"?>
<worksheet xmlns="http://schemas.openxmlformats.org/spreadsheetml/2006/main" xmlns:r="http://schemas.openxmlformats.org/officeDocument/2006/relationships">
  <sheetPr codeName="Sheet12">
    <pageSetUpPr fitToPage="1"/>
  </sheetPr>
  <dimension ref="C1:AA60"/>
  <sheetViews>
    <sheetView workbookViewId="0" topLeftCell="A1">
      <selection activeCell="A5" sqref="A5"/>
    </sheetView>
  </sheetViews>
  <sheetFormatPr defaultColWidth="9.33203125" defaultRowHeight="12.75"/>
  <cols>
    <col min="1" max="2" width="3.33203125" style="1" customWidth="1"/>
    <col min="3" max="3" width="41" style="1" customWidth="1"/>
    <col min="4" max="4" width="1.171875" style="1" customWidth="1"/>
    <col min="5" max="5" width="8.33203125" style="9" customWidth="1"/>
    <col min="6" max="6" width="3.83203125" style="9" customWidth="1"/>
    <col min="7" max="7" width="8.33203125" style="378" customWidth="1"/>
    <col min="8" max="8" width="3.83203125" style="29" customWidth="1"/>
    <col min="9" max="9" width="8.33203125" style="42" customWidth="1"/>
    <col min="10" max="10" width="3.83203125" style="9" customWidth="1"/>
    <col min="11" max="11" width="8.33203125" style="9" customWidth="1"/>
    <col min="12" max="12" width="3.83203125" style="9" customWidth="1"/>
    <col min="13" max="13" width="8.33203125" style="9" customWidth="1"/>
    <col min="14" max="14" width="4.83203125" style="9" customWidth="1"/>
    <col min="15" max="15" width="8.33203125" style="9" customWidth="1"/>
    <col min="16" max="16" width="4.83203125" style="9" customWidth="1"/>
    <col min="17" max="17" width="8.33203125" style="1" customWidth="1"/>
    <col min="18" max="18" width="1.83203125" style="1" customWidth="1"/>
    <col min="19" max="16384" width="9.33203125" style="1" customWidth="1"/>
  </cols>
  <sheetData>
    <row r="1" spans="3:18" ht="12.75">
      <c r="C1" s="90" t="s">
        <v>96</v>
      </c>
      <c r="D1" s="90"/>
      <c r="E1" s="90"/>
      <c r="F1" s="90"/>
      <c r="G1" s="477"/>
      <c r="H1" s="90"/>
      <c r="I1" s="477"/>
      <c r="J1" s="90"/>
      <c r="K1" s="90"/>
      <c r="L1" s="90"/>
      <c r="M1" s="90"/>
      <c r="N1" s="90"/>
      <c r="O1" s="90"/>
      <c r="P1" s="90"/>
      <c r="Q1" s="90"/>
      <c r="R1" s="89"/>
    </row>
    <row r="2" spans="3:18" ht="12">
      <c r="C2" s="91" t="s">
        <v>79</v>
      </c>
      <c r="D2" s="91"/>
      <c r="E2" s="91"/>
      <c r="F2" s="91"/>
      <c r="G2" s="478"/>
      <c r="H2" s="91"/>
      <c r="I2" s="478"/>
      <c r="J2" s="91"/>
      <c r="K2" s="91"/>
      <c r="L2" s="91"/>
      <c r="M2" s="91"/>
      <c r="N2" s="91"/>
      <c r="O2" s="91"/>
      <c r="P2" s="91"/>
      <c r="Q2" s="91"/>
      <c r="R2" s="89"/>
    </row>
    <row r="3" spans="3:18" ht="12">
      <c r="C3" s="91" t="s">
        <v>440</v>
      </c>
      <c r="D3" s="91"/>
      <c r="E3" s="91"/>
      <c r="F3" s="91"/>
      <c r="G3" s="478"/>
      <c r="H3" s="91"/>
      <c r="I3" s="478"/>
      <c r="J3" s="91"/>
      <c r="K3" s="91"/>
      <c r="L3" s="91"/>
      <c r="M3" s="91"/>
      <c r="N3" s="91"/>
      <c r="O3" s="91"/>
      <c r="P3" s="91"/>
      <c r="Q3" s="91"/>
      <c r="R3" s="89"/>
    </row>
    <row r="4" spans="3:18" ht="12">
      <c r="C4" s="92" t="s">
        <v>154</v>
      </c>
      <c r="D4" s="92"/>
      <c r="E4" s="92"/>
      <c r="F4" s="92"/>
      <c r="G4" s="267"/>
      <c r="H4" s="92"/>
      <c r="I4" s="267"/>
      <c r="J4" s="92"/>
      <c r="K4" s="92"/>
      <c r="L4" s="92"/>
      <c r="M4" s="92"/>
      <c r="N4" s="92"/>
      <c r="O4" s="92"/>
      <c r="P4" s="92"/>
      <c r="Q4" s="92"/>
      <c r="R4" s="89"/>
    </row>
    <row r="5" spans="3:18" ht="11.25">
      <c r="C5" s="92" t="s">
        <v>170</v>
      </c>
      <c r="D5" s="92"/>
      <c r="E5" s="92"/>
      <c r="F5" s="92"/>
      <c r="G5" s="267"/>
      <c r="H5" s="92"/>
      <c r="I5" s="267"/>
      <c r="J5" s="92"/>
      <c r="K5" s="92"/>
      <c r="L5" s="92"/>
      <c r="M5" s="92"/>
      <c r="N5" s="92"/>
      <c r="O5" s="92"/>
      <c r="P5" s="92"/>
      <c r="Q5" s="92"/>
      <c r="R5" s="89"/>
    </row>
    <row r="6" spans="3:18" ht="10.5" customHeight="1">
      <c r="C6" s="538"/>
      <c r="D6" s="2"/>
      <c r="E6" s="2" t="s">
        <v>162</v>
      </c>
      <c r="F6" s="2"/>
      <c r="G6" s="260" t="s">
        <v>162</v>
      </c>
      <c r="H6" s="2"/>
      <c r="I6" s="260"/>
      <c r="J6" s="2"/>
      <c r="K6" s="2"/>
      <c r="L6" s="2"/>
      <c r="M6" s="2"/>
      <c r="N6" s="2"/>
      <c r="O6" s="2"/>
      <c r="P6" s="2"/>
      <c r="Q6" s="2"/>
      <c r="R6" s="2"/>
    </row>
    <row r="7" spans="3:17" ht="10.5" customHeight="1">
      <c r="C7" s="45"/>
      <c r="D7" s="45"/>
      <c r="E7" s="46" t="s">
        <v>98</v>
      </c>
      <c r="F7" s="46"/>
      <c r="G7" s="479" t="s">
        <v>99</v>
      </c>
      <c r="H7" s="46"/>
      <c r="I7" s="479" t="s">
        <v>100</v>
      </c>
      <c r="J7" s="46"/>
      <c r="K7" s="46" t="s">
        <v>91</v>
      </c>
      <c r="L7" s="46"/>
      <c r="M7" s="46" t="s">
        <v>103</v>
      </c>
      <c r="N7" s="46"/>
      <c r="O7" s="166" t="s">
        <v>389</v>
      </c>
      <c r="P7" s="46"/>
      <c r="Q7" s="46" t="s">
        <v>97</v>
      </c>
    </row>
    <row r="8" spans="4:18" ht="10.5" customHeight="1">
      <c r="D8" s="166"/>
      <c r="E8" s="166" t="s">
        <v>163</v>
      </c>
      <c r="F8" s="166"/>
      <c r="G8" s="480" t="s">
        <v>101</v>
      </c>
      <c r="H8" s="166"/>
      <c r="I8" s="480" t="s">
        <v>102</v>
      </c>
      <c r="J8" s="166"/>
      <c r="K8" s="166" t="s">
        <v>165</v>
      </c>
      <c r="L8" s="166"/>
      <c r="M8" s="166" t="s">
        <v>218</v>
      </c>
      <c r="N8" s="166"/>
      <c r="O8" s="166" t="s">
        <v>390</v>
      </c>
      <c r="P8" s="166"/>
      <c r="Q8" s="166" t="s">
        <v>103</v>
      </c>
      <c r="R8" s="166"/>
    </row>
    <row r="9" spans="3:18" ht="11.25">
      <c r="C9" s="387" t="s">
        <v>438</v>
      </c>
      <c r="D9" s="66"/>
      <c r="E9" s="11"/>
      <c r="F9" s="11"/>
      <c r="G9" s="481"/>
      <c r="H9" s="26"/>
      <c r="I9" s="482"/>
      <c r="J9" s="11"/>
      <c r="K9" s="11"/>
      <c r="L9" s="11"/>
      <c r="M9" s="11"/>
      <c r="N9" s="11"/>
      <c r="O9" s="11"/>
      <c r="P9" s="11"/>
      <c r="Q9" s="11"/>
      <c r="R9" s="69"/>
    </row>
    <row r="10" spans="3:17" ht="11.25" customHeight="1">
      <c r="C10" s="1" t="s">
        <v>131</v>
      </c>
      <c r="E10" s="39">
        <f>+'Segment  2006 Qtr'!E10+7427</f>
        <v>9663</v>
      </c>
      <c r="F10" s="47"/>
      <c r="G10" s="39">
        <f>+'Segment  2006 Qtr'!G10+4456</f>
        <v>5897</v>
      </c>
      <c r="H10" s="47"/>
      <c r="I10" s="39">
        <f>+'Segment  2006 Qtr'!I10+1312</f>
        <v>1567</v>
      </c>
      <c r="J10" s="33"/>
      <c r="K10" s="60">
        <f>+'Segment  2006 Qtr'!K10+0</f>
        <v>0</v>
      </c>
      <c r="L10" s="39"/>
      <c r="M10" s="39">
        <f aca="true" t="shared" si="0" ref="M10:M16">(E10+G10+I10+K10)</f>
        <v>17127</v>
      </c>
      <c r="N10" s="39"/>
      <c r="O10" s="39">
        <f>+'Segment  2006 Qtr'!O10+196</f>
        <v>274</v>
      </c>
      <c r="P10" s="39"/>
      <c r="Q10" s="61">
        <f aca="true" t="shared" si="1" ref="Q10:Q16">M10+O10</f>
        <v>17401</v>
      </c>
    </row>
    <row r="11" spans="3:17" ht="11.25" customHeight="1">
      <c r="C11" s="1" t="s">
        <v>132</v>
      </c>
      <c r="E11" s="48">
        <f>+'Segment  2006 Qtr'!E11+4464</f>
        <v>5940</v>
      </c>
      <c r="F11" s="48"/>
      <c r="G11" s="48">
        <f>+'Segment  2006 Qtr'!G11+3207</f>
        <v>4266</v>
      </c>
      <c r="H11" s="48"/>
      <c r="I11" s="48">
        <f>+'Segment  2006 Qtr'!I11+1299</f>
        <v>1550</v>
      </c>
      <c r="J11" s="48"/>
      <c r="K11" s="48">
        <f>+'Segment  2006 Qtr'!K11+0</f>
        <v>0</v>
      </c>
      <c r="L11" s="48"/>
      <c r="M11" s="172">
        <f t="shared" si="0"/>
        <v>11756</v>
      </c>
      <c r="N11" s="48"/>
      <c r="O11" s="48">
        <f>+'Segment  2006 Qtr'!O11+196</f>
        <v>274</v>
      </c>
      <c r="P11" s="48"/>
      <c r="Q11" s="173">
        <f t="shared" si="1"/>
        <v>12030</v>
      </c>
    </row>
    <row r="12" spans="3:17" ht="11.25" customHeight="1">
      <c r="C12" s="1" t="s">
        <v>133</v>
      </c>
      <c r="E12" s="48">
        <f>+'Segment  2006 Qtr'!E12+4248</f>
        <v>5719</v>
      </c>
      <c r="F12" s="48"/>
      <c r="G12" s="48">
        <f>+'Segment  2006 Qtr'!G12+3224</f>
        <v>4321</v>
      </c>
      <c r="H12" s="48"/>
      <c r="I12" s="48">
        <f>+'Segment  2006 Qtr'!I12+1131</f>
        <v>1511</v>
      </c>
      <c r="J12" s="48"/>
      <c r="K12" s="48">
        <f>+'Segment  2006 Qtr'!K12+0</f>
        <v>0</v>
      </c>
      <c r="L12" s="48"/>
      <c r="M12" s="172">
        <f t="shared" si="0"/>
        <v>11551</v>
      </c>
      <c r="N12" s="48"/>
      <c r="O12" s="48">
        <f>+'Segment  2006 Qtr'!O12+196</f>
        <v>274</v>
      </c>
      <c r="P12" s="48"/>
      <c r="Q12" s="173">
        <f t="shared" si="1"/>
        <v>11825</v>
      </c>
    </row>
    <row r="13" spans="3:17" ht="11.25" customHeight="1">
      <c r="C13" s="1" t="s">
        <v>126</v>
      </c>
      <c r="E13" s="48">
        <f>+'Segment  2006 Qtr'!E13+2972</f>
        <v>4026</v>
      </c>
      <c r="F13" s="48"/>
      <c r="G13" s="48">
        <f>+'Segment  2006 Qtr'!G13+1683</f>
        <v>2259</v>
      </c>
      <c r="H13" s="48"/>
      <c r="I13" s="48">
        <f>+'Segment  2006 Qtr'!I13+590</f>
        <v>784</v>
      </c>
      <c r="J13" s="48"/>
      <c r="K13" s="48">
        <f>+'Segment  2006 Qtr'!K13+1</f>
        <v>1</v>
      </c>
      <c r="L13" s="48"/>
      <c r="M13" s="172">
        <f t="shared" si="0"/>
        <v>7070</v>
      </c>
      <c r="N13" s="48"/>
      <c r="O13" s="48">
        <f>+'Segment  2006 Qtr'!O13+0</f>
        <v>0</v>
      </c>
      <c r="P13" s="48"/>
      <c r="Q13" s="173">
        <f t="shared" si="1"/>
        <v>7070</v>
      </c>
    </row>
    <row r="14" spans="3:17" ht="11.25" customHeight="1">
      <c r="C14" s="16" t="s">
        <v>125</v>
      </c>
      <c r="E14" s="48">
        <f>+'Segment  2006 Qtr'!E14+0</f>
        <v>0</v>
      </c>
      <c r="F14" s="48"/>
      <c r="G14" s="48">
        <f>+'Segment  2006 Qtr'!G14+0</f>
        <v>0</v>
      </c>
      <c r="H14" s="48"/>
      <c r="I14" s="48">
        <f>+'Segment  2006 Qtr'!I14+0</f>
        <v>0</v>
      </c>
      <c r="J14" s="48"/>
      <c r="K14" s="48">
        <f>+'Segment  2006 Qtr'!K14+0</f>
        <v>0</v>
      </c>
      <c r="L14" s="48"/>
      <c r="M14" s="172">
        <f t="shared" si="0"/>
        <v>0</v>
      </c>
      <c r="N14" s="48"/>
      <c r="O14" s="48">
        <f>+'Segment  2006 Qtr'!O14+91</f>
        <v>123</v>
      </c>
      <c r="P14" s="48"/>
      <c r="Q14" s="173">
        <f t="shared" si="1"/>
        <v>123</v>
      </c>
    </row>
    <row r="15" spans="3:17" ht="11.25" customHeight="1">
      <c r="C15" s="1" t="s">
        <v>136</v>
      </c>
      <c r="E15" s="48">
        <f>+'Segment  2006 Qtr'!E15+408</f>
        <v>530</v>
      </c>
      <c r="F15" s="48"/>
      <c r="G15" s="48">
        <f>+'Segment  2006 Qtr'!G15+630</f>
        <v>856</v>
      </c>
      <c r="H15" s="48"/>
      <c r="I15" s="48">
        <f>+'Segment  2006 Qtr'!I15+227</f>
        <v>303</v>
      </c>
      <c r="J15" s="48"/>
      <c r="K15" s="48">
        <f>+'Segment  2006 Qtr'!K15+0</f>
        <v>0</v>
      </c>
      <c r="L15" s="48"/>
      <c r="M15" s="172">
        <f t="shared" si="0"/>
        <v>1689</v>
      </c>
      <c r="N15" s="48"/>
      <c r="O15" s="48">
        <f>+'Segment  2006 Qtr'!O15+17</f>
        <v>26</v>
      </c>
      <c r="P15" s="48"/>
      <c r="Q15" s="173">
        <f t="shared" si="1"/>
        <v>1715</v>
      </c>
    </row>
    <row r="16" spans="3:17" ht="11.25" customHeight="1">
      <c r="C16" s="1" t="s">
        <v>134</v>
      </c>
      <c r="E16" s="48">
        <f>+'Segment  2006 Qtr'!E16+370</f>
        <v>502</v>
      </c>
      <c r="F16" s="48"/>
      <c r="G16" s="48">
        <f>+'Segment  2006 Qtr'!G16+452</f>
        <v>609</v>
      </c>
      <c r="H16" s="48"/>
      <c r="I16" s="48">
        <f>+'Segment  2006 Qtr'!I16+48</f>
        <v>62</v>
      </c>
      <c r="J16" s="48"/>
      <c r="K16" s="48">
        <f>+'Segment  2006 Qtr'!K16+198</f>
        <v>248</v>
      </c>
      <c r="L16" s="48"/>
      <c r="M16" s="172">
        <f t="shared" si="0"/>
        <v>1421</v>
      </c>
      <c r="N16" s="48"/>
      <c r="O16" s="48">
        <f>+'Segment  2006 Qtr'!O16+23</f>
        <v>35</v>
      </c>
      <c r="P16" s="48"/>
      <c r="Q16" s="173">
        <f t="shared" si="1"/>
        <v>1456</v>
      </c>
    </row>
    <row r="17" spans="3:17" ht="11.25" customHeight="1">
      <c r="C17" s="1" t="s">
        <v>63</v>
      </c>
      <c r="E17" s="264">
        <f>E12-E13-E14-E15-E16</f>
        <v>661</v>
      </c>
      <c r="F17" s="264"/>
      <c r="G17" s="264">
        <f>G12-G13-G14-G15-G16</f>
        <v>597</v>
      </c>
      <c r="H17" s="264"/>
      <c r="I17" s="264">
        <f>I12-I13-I14-I15-I16</f>
        <v>362</v>
      </c>
      <c r="J17" s="264"/>
      <c r="K17" s="264">
        <f>K12-K13-K14-K15-K16</f>
        <v>-249</v>
      </c>
      <c r="L17" s="264"/>
      <c r="M17" s="264">
        <f>M12-M13-M14-M15-M16</f>
        <v>1371</v>
      </c>
      <c r="N17" s="264"/>
      <c r="O17" s="264">
        <f>O12-O13-O14-O15-O16</f>
        <v>90</v>
      </c>
      <c r="P17" s="264"/>
      <c r="Q17" s="264">
        <f>Q12-Q13-Q14-Q15-Q16</f>
        <v>1461</v>
      </c>
    </row>
    <row r="18" spans="5:17" ht="6.75" customHeight="1">
      <c r="E18" s="49"/>
      <c r="F18" s="49"/>
      <c r="G18" s="49"/>
      <c r="H18" s="50"/>
      <c r="I18" s="49"/>
      <c r="J18" s="49"/>
      <c r="K18" s="49"/>
      <c r="L18" s="49"/>
      <c r="M18" s="49"/>
      <c r="N18" s="49"/>
      <c r="O18" s="49"/>
      <c r="P18" s="49"/>
      <c r="Q18" s="49"/>
    </row>
    <row r="19" spans="3:17" ht="11.25" customHeight="1">
      <c r="C19" s="1" t="s">
        <v>128</v>
      </c>
      <c r="E19" s="48">
        <f>+'Segment  2006 Qtr'!E19+643</f>
        <v>876</v>
      </c>
      <c r="F19" s="48"/>
      <c r="G19" s="48">
        <f>+'Segment  2006 Qtr'!G19+273</f>
        <v>370</v>
      </c>
      <c r="H19" s="48"/>
      <c r="I19" s="48">
        <f>+'Segment  2006 Qtr'!I19+159</f>
        <v>221</v>
      </c>
      <c r="J19" s="48"/>
      <c r="K19" s="48">
        <f>+'Segment  2006 Qtr'!K19+68</f>
        <v>92</v>
      </c>
      <c r="L19" s="48"/>
      <c r="M19" s="172">
        <f aca="true" t="shared" si="2" ref="M19:M24">(E19+G19+I19+K19)</f>
        <v>1559</v>
      </c>
      <c r="N19" s="48"/>
      <c r="O19" s="48">
        <f>+'Segment  2006 Qtr'!O19+30</f>
        <v>42</v>
      </c>
      <c r="P19" s="48"/>
      <c r="Q19" s="173">
        <f aca="true" t="shared" si="3" ref="Q19:Q24">M19+O19</f>
        <v>1601</v>
      </c>
    </row>
    <row r="20" spans="3:18" ht="11.25" customHeight="1">
      <c r="C20" s="176" t="s">
        <v>173</v>
      </c>
      <c r="D20" s="176"/>
      <c r="E20" s="216">
        <f>+'Segment  2006 Qtr'!E20+-72</f>
        <v>-83</v>
      </c>
      <c r="F20" s="216"/>
      <c r="G20" s="216">
        <f>+'Segment  2006 Qtr'!G20-24</f>
        <v>-16</v>
      </c>
      <c r="H20" s="216"/>
      <c r="I20" s="216">
        <f>+'Segment  2006 Qtr'!I20-7</f>
        <v>10</v>
      </c>
      <c r="J20" s="216"/>
      <c r="K20" s="216">
        <f>+'Segment  2006 Qtr'!K20+13</f>
        <v>27</v>
      </c>
      <c r="L20" s="216"/>
      <c r="M20" s="172">
        <f t="shared" si="2"/>
        <v>-62</v>
      </c>
      <c r="N20" s="216"/>
      <c r="O20" s="216">
        <f>+'Segment  2006 Qtr'!O20-23</f>
        <v>-36</v>
      </c>
      <c r="P20" s="216"/>
      <c r="Q20" s="173">
        <f t="shared" si="3"/>
        <v>-98</v>
      </c>
      <c r="R20" s="176"/>
    </row>
    <row r="21" spans="3:17" ht="11.25" customHeight="1">
      <c r="C21" s="1" t="s">
        <v>146</v>
      </c>
      <c r="E21" s="48">
        <f>+'Segment  2006 Qtr'!E21+0</f>
        <v>0</v>
      </c>
      <c r="F21" s="48"/>
      <c r="G21" s="48">
        <f>+'Segment  2006 Qtr'!G21+0</f>
        <v>0</v>
      </c>
      <c r="H21" s="48"/>
      <c r="I21" s="48">
        <f>+'Segment  2006 Qtr'!I21+0</f>
        <v>0</v>
      </c>
      <c r="J21" s="48"/>
      <c r="K21" s="48">
        <f>+'Segment  2006 Qtr'!K21+134</f>
        <v>176</v>
      </c>
      <c r="L21" s="48"/>
      <c r="M21" s="172">
        <f t="shared" si="2"/>
        <v>176</v>
      </c>
      <c r="N21" s="48"/>
      <c r="O21" s="48">
        <f>+'Segment  2006 Qtr'!O21+0</f>
        <v>0</v>
      </c>
      <c r="P21" s="48"/>
      <c r="Q21" s="173">
        <f t="shared" si="3"/>
        <v>176</v>
      </c>
    </row>
    <row r="22" spans="3:17" ht="11.25" customHeight="1">
      <c r="C22" s="1" t="s">
        <v>265</v>
      </c>
      <c r="D22" s="44"/>
      <c r="E22" s="48">
        <f>+'Segment  2006 Qtr'!E22+11</f>
        <v>-2</v>
      </c>
      <c r="F22" s="48"/>
      <c r="G22" s="48">
        <f>+'Segment  2006 Qtr'!G22+3</f>
        <v>10</v>
      </c>
      <c r="H22" s="48"/>
      <c r="I22" s="48">
        <f>+'Segment  2006 Qtr'!I22+6</f>
        <v>8</v>
      </c>
      <c r="J22" s="48"/>
      <c r="K22" s="48">
        <f>+'Segment  2006 Qtr'!K22+-39</f>
        <v>-51</v>
      </c>
      <c r="L22" s="48"/>
      <c r="M22" s="172">
        <f t="shared" si="2"/>
        <v>-35</v>
      </c>
      <c r="N22" s="48"/>
      <c r="O22" s="48">
        <f>+'Segment  2006 Qtr'!O22+0</f>
        <v>0</v>
      </c>
      <c r="P22" s="48"/>
      <c r="Q22" s="173">
        <f t="shared" si="3"/>
        <v>-35</v>
      </c>
    </row>
    <row r="23" spans="3:17" ht="11.25" customHeight="1">
      <c r="C23" s="1" t="s">
        <v>158</v>
      </c>
      <c r="E23" s="48">
        <f>+'Segment  2006 Qtr'!E23+263</f>
        <v>352</v>
      </c>
      <c r="F23" s="48"/>
      <c r="G23" s="48">
        <f>+'Segment  2006 Qtr'!G23+163</f>
        <v>206</v>
      </c>
      <c r="H23" s="48"/>
      <c r="I23" s="48">
        <f>+'Segment  2006 Qtr'!I23+29</f>
        <v>38</v>
      </c>
      <c r="J23" s="48"/>
      <c r="K23" s="48">
        <f>+'Segment  2006 Qtr'!K23-56</f>
        <v>-68</v>
      </c>
      <c r="L23" s="48"/>
      <c r="M23" s="172">
        <f t="shared" si="2"/>
        <v>528</v>
      </c>
      <c r="N23" s="48"/>
      <c r="O23" s="48">
        <f>+'Segment  2006 Qtr'!O23-1</f>
        <v>-6</v>
      </c>
      <c r="P23" s="48"/>
      <c r="Q23" s="173">
        <f t="shared" si="3"/>
        <v>522</v>
      </c>
    </row>
    <row r="24" spans="3:17" ht="21.75" customHeight="1">
      <c r="C24" s="205" t="s">
        <v>379</v>
      </c>
      <c r="E24" s="48">
        <v>0</v>
      </c>
      <c r="F24" s="48"/>
      <c r="G24" s="48">
        <v>0</v>
      </c>
      <c r="H24" s="48"/>
      <c r="I24" s="48">
        <v>0</v>
      </c>
      <c r="J24" s="48"/>
      <c r="K24" s="48">
        <v>4</v>
      </c>
      <c r="L24" s="48"/>
      <c r="M24" s="172">
        <f t="shared" si="2"/>
        <v>4</v>
      </c>
      <c r="N24" s="48"/>
      <c r="O24" s="48">
        <v>0</v>
      </c>
      <c r="P24" s="48"/>
      <c r="Q24" s="173">
        <f t="shared" si="3"/>
        <v>4</v>
      </c>
    </row>
    <row r="25" spans="3:18" ht="11.25" customHeight="1">
      <c r="C25" s="176" t="s">
        <v>64</v>
      </c>
      <c r="D25" s="205"/>
      <c r="E25" s="265">
        <f>+E17+E19-E22-E21-E23+E20+E24</f>
        <v>1104</v>
      </c>
      <c r="F25" s="265"/>
      <c r="G25" s="265">
        <f>+G17+G19-G22-G21-G23+G20+G24</f>
        <v>735</v>
      </c>
      <c r="H25" s="265"/>
      <c r="I25" s="265">
        <f>+I17+I19-I22-I21-I23+I20+I24</f>
        <v>547</v>
      </c>
      <c r="J25" s="265"/>
      <c r="K25" s="265">
        <f>+K17+K19-K22-K21-K23+K20+K24</f>
        <v>-183</v>
      </c>
      <c r="L25" s="265"/>
      <c r="M25" s="265">
        <f>+M17+M19-M22-M21-M23+M20+M24</f>
        <v>2203</v>
      </c>
      <c r="N25" s="265"/>
      <c r="O25" s="265">
        <f>+O17+O19-O22-O21-O23+O20+O24</f>
        <v>102</v>
      </c>
      <c r="P25" s="265"/>
      <c r="Q25" s="265">
        <f>+Q17+Q19-Q22-Q21-Q23+Q20+Q24</f>
        <v>2305</v>
      </c>
      <c r="R25" s="176"/>
    </row>
    <row r="26" spans="3:18" ht="5.25" customHeight="1">
      <c r="C26" s="205"/>
      <c r="D26" s="205"/>
      <c r="E26" s="218"/>
      <c r="F26" s="218"/>
      <c r="G26" s="218"/>
      <c r="H26" s="218"/>
      <c r="I26" s="218"/>
      <c r="J26" s="218"/>
      <c r="K26" s="218"/>
      <c r="L26" s="218"/>
      <c r="M26" s="218"/>
      <c r="N26" s="218"/>
      <c r="O26" s="218"/>
      <c r="P26" s="218"/>
      <c r="Q26" s="218"/>
      <c r="R26" s="176"/>
    </row>
    <row r="27" spans="3:18" ht="11.25" customHeight="1">
      <c r="C27" s="176" t="s">
        <v>173</v>
      </c>
      <c r="D27" s="176"/>
      <c r="E27" s="216">
        <f>+E20</f>
        <v>-83</v>
      </c>
      <c r="F27" s="216"/>
      <c r="G27" s="216">
        <f>+G20</f>
        <v>-16</v>
      </c>
      <c r="H27" s="216"/>
      <c r="I27" s="216">
        <f>+I20</f>
        <v>10</v>
      </c>
      <c r="J27" s="216"/>
      <c r="K27" s="216">
        <f>+K20</f>
        <v>27</v>
      </c>
      <c r="L27" s="216"/>
      <c r="M27" s="216">
        <f>(E27+G27+I27+K27)</f>
        <v>-62</v>
      </c>
      <c r="N27" s="216"/>
      <c r="O27" s="216">
        <f>+O20</f>
        <v>-36</v>
      </c>
      <c r="P27" s="216"/>
      <c r="Q27" s="216">
        <f>M27+O27</f>
        <v>-98</v>
      </c>
      <c r="R27" s="176"/>
    </row>
    <row r="28" spans="3:18" ht="11.25" customHeight="1">
      <c r="C28" s="177" t="s">
        <v>266</v>
      </c>
      <c r="D28" s="177"/>
      <c r="E28" s="216">
        <f>+'Segment  2006 Qtr'!E27-39</f>
        <v>-55</v>
      </c>
      <c r="F28" s="216"/>
      <c r="G28" s="216">
        <f>+'Segment  2006 Qtr'!G27+1</f>
        <v>3</v>
      </c>
      <c r="H28" s="216"/>
      <c r="I28" s="216">
        <f>+'Segment  2006 Qtr'!I27-2</f>
        <v>-1</v>
      </c>
      <c r="J28" s="216"/>
      <c r="K28" s="216">
        <f>+'Segment  2006 Qtr'!K27-1</f>
        <v>5</v>
      </c>
      <c r="L28" s="216"/>
      <c r="M28" s="173">
        <f>(E28+G28+I28+K28)</f>
        <v>-48</v>
      </c>
      <c r="N28" s="216"/>
      <c r="O28" s="216">
        <f>+'Segment  2006 Qtr'!O27+0</f>
        <v>0</v>
      </c>
      <c r="P28" s="216"/>
      <c r="Q28" s="173">
        <f>M28+O28</f>
        <v>-48</v>
      </c>
      <c r="R28" s="176"/>
    </row>
    <row r="29" spans="3:18" ht="21" customHeight="1">
      <c r="C29" s="205" t="s">
        <v>379</v>
      </c>
      <c r="D29" s="177"/>
      <c r="E29" s="216">
        <v>0</v>
      </c>
      <c r="F29" s="216"/>
      <c r="G29" s="216">
        <v>0</v>
      </c>
      <c r="H29" s="216"/>
      <c r="I29" s="216">
        <v>0</v>
      </c>
      <c r="J29" s="216"/>
      <c r="K29" s="216">
        <f>4</f>
        <v>4</v>
      </c>
      <c r="L29" s="216"/>
      <c r="M29" s="173">
        <f>(E29+G29+I29+K29)</f>
        <v>4</v>
      </c>
      <c r="N29" s="216"/>
      <c r="O29" s="216">
        <v>0</v>
      </c>
      <c r="P29" s="216"/>
      <c r="Q29" s="173">
        <f>M29+O29</f>
        <v>4</v>
      </c>
      <c r="R29" s="176"/>
    </row>
    <row r="30" spans="3:18" ht="26.25" customHeight="1" thickBot="1">
      <c r="C30" s="205" t="s">
        <v>387</v>
      </c>
      <c r="D30" s="176"/>
      <c r="E30" s="217">
        <f>E25-E27+E28-E29</f>
        <v>1132</v>
      </c>
      <c r="F30" s="198"/>
      <c r="G30" s="217">
        <f>G25-G27+G28-G29</f>
        <v>754</v>
      </c>
      <c r="H30" s="217"/>
      <c r="I30" s="217">
        <f>I25-I27+I28-I29</f>
        <v>536</v>
      </c>
      <c r="J30" s="198"/>
      <c r="K30" s="217">
        <f>K25-K27+K28-K29</f>
        <v>-209</v>
      </c>
      <c r="L30" s="198"/>
      <c r="M30" s="217">
        <f>M25-M27+M28-M29</f>
        <v>2213</v>
      </c>
      <c r="N30" s="198"/>
      <c r="O30" s="217">
        <f>O25-O27+O28-O29</f>
        <v>138</v>
      </c>
      <c r="P30" s="198"/>
      <c r="Q30" s="217">
        <f>Q25-Q27+Q28-Q29</f>
        <v>2351</v>
      </c>
      <c r="R30" s="176"/>
    </row>
    <row r="31" spans="3:18" ht="7.5" customHeight="1" thickTop="1">
      <c r="C31" s="176"/>
      <c r="D31" s="176"/>
      <c r="E31" s="219"/>
      <c r="F31" s="219"/>
      <c r="G31" s="218"/>
      <c r="H31" s="218"/>
      <c r="I31" s="219"/>
      <c r="J31" s="219"/>
      <c r="K31" s="219"/>
      <c r="L31" s="219"/>
      <c r="M31" s="219"/>
      <c r="N31" s="219"/>
      <c r="O31" s="219"/>
      <c r="P31" s="219"/>
      <c r="Q31" s="219"/>
      <c r="R31" s="176"/>
    </row>
    <row r="32" spans="3:18" ht="11.25">
      <c r="C32" s="387" t="s">
        <v>437</v>
      </c>
      <c r="D32" s="67"/>
      <c r="E32" s="87"/>
      <c r="F32" s="87"/>
      <c r="G32" s="377"/>
      <c r="H32" s="377"/>
      <c r="I32" s="87"/>
      <c r="J32" s="87"/>
      <c r="K32" s="87"/>
      <c r="L32" s="87"/>
      <c r="M32" s="87"/>
      <c r="N32" s="87"/>
      <c r="O32" s="87"/>
      <c r="P32" s="87"/>
      <c r="Q32" s="87"/>
      <c r="R32" s="7"/>
    </row>
    <row r="33" spans="3:27" ht="11.25" customHeight="1">
      <c r="C33" s="1" t="s">
        <v>131</v>
      </c>
      <c r="E33" s="39">
        <v>9189</v>
      </c>
      <c r="F33" s="39"/>
      <c r="G33" s="39">
        <v>5775</v>
      </c>
      <c r="H33" s="39"/>
      <c r="I33" s="39">
        <v>1599</v>
      </c>
      <c r="J33" s="39"/>
      <c r="K33" s="39">
        <v>0</v>
      </c>
      <c r="L33" s="39"/>
      <c r="M33" s="39">
        <f>E33+G33+I33+K33</f>
        <v>16563</v>
      </c>
      <c r="N33" s="39"/>
      <c r="O33" s="39">
        <v>248</v>
      </c>
      <c r="P33" s="39"/>
      <c r="Q33" s="34">
        <f aca="true" t="shared" si="4" ref="Q33:Q39">M33+O33</f>
        <v>16811</v>
      </c>
      <c r="Z33" s="475"/>
      <c r="AA33" s="476">
        <f>+Q33+Z33</f>
        <v>16811</v>
      </c>
    </row>
    <row r="34" spans="3:27" ht="11.25" customHeight="1">
      <c r="C34" s="1" t="s">
        <v>132</v>
      </c>
      <c r="E34" s="172">
        <v>5803</v>
      </c>
      <c r="F34" s="172"/>
      <c r="G34" s="172">
        <v>4195</v>
      </c>
      <c r="H34" s="172"/>
      <c r="I34" s="172">
        <v>1546</v>
      </c>
      <c r="J34" s="172"/>
      <c r="K34" s="172">
        <v>0</v>
      </c>
      <c r="L34" s="172"/>
      <c r="M34" s="172">
        <f>(E34+G34+I34+K34)</f>
        <v>11544</v>
      </c>
      <c r="N34" s="172"/>
      <c r="O34" s="172">
        <v>248</v>
      </c>
      <c r="P34" s="48"/>
      <c r="Q34" s="48">
        <f t="shared" si="4"/>
        <v>11792</v>
      </c>
      <c r="Z34" s="10"/>
      <c r="AA34" s="476">
        <f>+Q34+Z34</f>
        <v>11792</v>
      </c>
    </row>
    <row r="35" spans="3:27" ht="11.25" customHeight="1">
      <c r="C35" s="1" t="s">
        <v>133</v>
      </c>
      <c r="E35" s="172">
        <v>5730</v>
      </c>
      <c r="F35" s="172"/>
      <c r="G35" s="172">
        <v>4239</v>
      </c>
      <c r="H35" s="172"/>
      <c r="I35" s="172">
        <v>1531</v>
      </c>
      <c r="J35" s="172"/>
      <c r="K35" s="172">
        <v>0</v>
      </c>
      <c r="L35" s="172"/>
      <c r="M35" s="172">
        <f>(E35+G35+I35+K35)</f>
        <v>11500</v>
      </c>
      <c r="N35" s="172"/>
      <c r="O35" s="172">
        <v>248</v>
      </c>
      <c r="P35" s="48"/>
      <c r="Q35" s="48">
        <f t="shared" si="4"/>
        <v>11748</v>
      </c>
      <c r="Z35" s="10"/>
      <c r="AA35" s="476">
        <f>+Q35+Z35</f>
        <v>11748</v>
      </c>
    </row>
    <row r="36" spans="3:27" ht="11.25" customHeight="1">
      <c r="C36" s="1" t="s">
        <v>126</v>
      </c>
      <c r="E36" s="172">
        <v>4577</v>
      </c>
      <c r="F36" s="172"/>
      <c r="G36" s="172">
        <v>2583</v>
      </c>
      <c r="H36" s="172"/>
      <c r="I36" s="172">
        <v>1402</v>
      </c>
      <c r="J36" s="172"/>
      <c r="K36" s="172">
        <v>9</v>
      </c>
      <c r="L36" s="172"/>
      <c r="M36" s="172">
        <f>(E36+G36+I36+K36)</f>
        <v>8571</v>
      </c>
      <c r="N36" s="172"/>
      <c r="O36" s="172">
        <v>0</v>
      </c>
      <c r="P36" s="48"/>
      <c r="Q36" s="48">
        <f t="shared" si="4"/>
        <v>8571</v>
      </c>
      <c r="Z36" s="10"/>
      <c r="AA36" s="476">
        <f>+Q36+Z36</f>
        <v>8571</v>
      </c>
    </row>
    <row r="37" spans="3:27" ht="11.25" customHeight="1">
      <c r="C37" s="16" t="s">
        <v>125</v>
      </c>
      <c r="E37" s="172">
        <v>0</v>
      </c>
      <c r="F37" s="172"/>
      <c r="G37" s="172">
        <v>0</v>
      </c>
      <c r="H37" s="172"/>
      <c r="I37" s="172">
        <v>0</v>
      </c>
      <c r="J37" s="172"/>
      <c r="K37" s="172">
        <v>0</v>
      </c>
      <c r="L37" s="172"/>
      <c r="M37" s="172">
        <f>(E37+G37+I37+K37)</f>
        <v>0</v>
      </c>
      <c r="N37" s="172"/>
      <c r="O37" s="172">
        <v>143</v>
      </c>
      <c r="P37" s="48"/>
      <c r="Q37" s="48">
        <f t="shared" si="4"/>
        <v>143</v>
      </c>
      <c r="Z37" s="10"/>
      <c r="AA37" s="476"/>
    </row>
    <row r="38" spans="3:27" ht="11.25" customHeight="1">
      <c r="C38" s="1" t="s">
        <v>136</v>
      </c>
      <c r="E38" s="172">
        <v>503</v>
      </c>
      <c r="F38" s="172"/>
      <c r="G38" s="172">
        <v>836</v>
      </c>
      <c r="H38" s="172"/>
      <c r="I38" s="172">
        <v>300</v>
      </c>
      <c r="J38" s="172"/>
      <c r="K38" s="172">
        <v>0</v>
      </c>
      <c r="L38" s="172"/>
      <c r="M38" s="172">
        <f>(E38+G38+I38+K38)</f>
        <v>1639</v>
      </c>
      <c r="N38" s="172"/>
      <c r="O38" s="172">
        <v>24</v>
      </c>
      <c r="P38" s="48"/>
      <c r="Q38" s="48">
        <f t="shared" si="4"/>
        <v>1663</v>
      </c>
      <c r="Z38" s="10"/>
      <c r="AA38" s="476">
        <f>+Q38+Z38</f>
        <v>1663</v>
      </c>
    </row>
    <row r="39" spans="3:27" ht="11.25" customHeight="1">
      <c r="C39" s="1" t="s">
        <v>134</v>
      </c>
      <c r="E39" s="172">
        <v>427</v>
      </c>
      <c r="F39" s="172"/>
      <c r="G39" s="172">
        <v>566</v>
      </c>
      <c r="H39" s="172"/>
      <c r="I39" s="172">
        <v>60</v>
      </c>
      <c r="J39" s="172"/>
      <c r="K39" s="172">
        <v>189</v>
      </c>
      <c r="L39" s="172"/>
      <c r="M39" s="172">
        <f>E39+G39+I39+K39</f>
        <v>1242</v>
      </c>
      <c r="N39" s="172"/>
      <c r="O39" s="172">
        <v>19</v>
      </c>
      <c r="P39" s="48"/>
      <c r="Q39" s="48">
        <f t="shared" si="4"/>
        <v>1261</v>
      </c>
      <c r="Z39" s="10"/>
      <c r="AA39" s="476">
        <f>+Q39+Z39</f>
        <v>1261</v>
      </c>
    </row>
    <row r="40" spans="3:27" ht="11.25" customHeight="1">
      <c r="C40" s="1" t="s">
        <v>63</v>
      </c>
      <c r="E40" s="264">
        <f>E35-E36-E37-E38-E39</f>
        <v>223</v>
      </c>
      <c r="F40" s="264"/>
      <c r="G40" s="264">
        <f>G35-G36-G37-G38-G39</f>
        <v>254</v>
      </c>
      <c r="H40" s="264"/>
      <c r="I40" s="264">
        <f>I35-I36-I37-I38-I39</f>
        <v>-231</v>
      </c>
      <c r="J40" s="264"/>
      <c r="K40" s="264">
        <f>K35-K36-K37-K38-K39</f>
        <v>-198</v>
      </c>
      <c r="L40" s="264"/>
      <c r="M40" s="264">
        <f>M35-M36-M37-M38-M39</f>
        <v>48</v>
      </c>
      <c r="N40" s="264"/>
      <c r="O40" s="264">
        <f>O35-O36-O37-O38-O39</f>
        <v>62</v>
      </c>
      <c r="P40" s="264"/>
      <c r="Q40" s="264">
        <f>Q35-Q36-Q37-Q38-Q39</f>
        <v>110</v>
      </c>
      <c r="Z40" s="264">
        <f>Z35-Z36-Z38-Z39</f>
        <v>0</v>
      </c>
      <c r="AA40" s="44"/>
    </row>
    <row r="41" spans="5:17" ht="6" customHeight="1">
      <c r="E41" s="49"/>
      <c r="F41" s="49"/>
      <c r="G41" s="50"/>
      <c r="H41" s="50"/>
      <c r="I41" s="49"/>
      <c r="J41" s="49"/>
      <c r="K41" s="49"/>
      <c r="L41" s="49"/>
      <c r="M41" s="49"/>
      <c r="N41" s="49"/>
      <c r="O41" s="49"/>
      <c r="P41" s="49"/>
      <c r="Q41" s="49"/>
    </row>
    <row r="42" spans="3:17" ht="11.25" customHeight="1">
      <c r="C42" s="1" t="s">
        <v>128</v>
      </c>
      <c r="E42" s="172">
        <v>698</v>
      </c>
      <c r="F42" s="172"/>
      <c r="G42" s="172">
        <v>319</v>
      </c>
      <c r="H42" s="172"/>
      <c r="I42" s="172">
        <v>173</v>
      </c>
      <c r="J42" s="172"/>
      <c r="K42" s="172">
        <v>38</v>
      </c>
      <c r="L42" s="172"/>
      <c r="M42" s="172">
        <f>(E42+G42+I42+K42)</f>
        <v>1228</v>
      </c>
      <c r="N42" s="172"/>
      <c r="O42" s="172">
        <v>36</v>
      </c>
      <c r="P42" s="48"/>
      <c r="Q42" s="48">
        <f>M42+O42</f>
        <v>1264</v>
      </c>
    </row>
    <row r="43" spans="3:19" ht="11.25" customHeight="1">
      <c r="C43" s="176" t="s">
        <v>173</v>
      </c>
      <c r="D43" s="176"/>
      <c r="E43" s="172">
        <v>15</v>
      </c>
      <c r="F43" s="172"/>
      <c r="G43" s="172">
        <v>51</v>
      </c>
      <c r="H43" s="172"/>
      <c r="I43" s="172">
        <v>-4</v>
      </c>
      <c r="J43" s="172"/>
      <c r="K43" s="172">
        <v>-5</v>
      </c>
      <c r="L43" s="172"/>
      <c r="M43" s="172">
        <f>(E43+G43+I43+K43)</f>
        <v>57</v>
      </c>
      <c r="N43" s="172"/>
      <c r="O43" s="172">
        <v>19</v>
      </c>
      <c r="P43" s="216"/>
      <c r="Q43" s="48">
        <f>M43+O43</f>
        <v>76</v>
      </c>
      <c r="R43" s="176"/>
      <c r="S43" s="176"/>
    </row>
    <row r="44" spans="3:17" ht="11.25" customHeight="1">
      <c r="C44" s="1" t="s">
        <v>146</v>
      </c>
      <c r="E44" s="172">
        <v>0</v>
      </c>
      <c r="F44" s="172"/>
      <c r="G44" s="172">
        <v>0</v>
      </c>
      <c r="H44" s="172"/>
      <c r="I44" s="172">
        <v>3</v>
      </c>
      <c r="J44" s="172"/>
      <c r="K44" s="172">
        <v>171</v>
      </c>
      <c r="L44" s="172"/>
      <c r="M44" s="172">
        <f>(E44+G44+I44+K44)</f>
        <v>174</v>
      </c>
      <c r="N44" s="172"/>
      <c r="O44" s="172">
        <v>0</v>
      </c>
      <c r="P44" s="48"/>
      <c r="Q44" s="48">
        <f>M44+O44</f>
        <v>174</v>
      </c>
    </row>
    <row r="45" spans="3:17" ht="11.25" customHeight="1">
      <c r="C45" s="1" t="s">
        <v>265</v>
      </c>
      <c r="E45" s="172">
        <v>18</v>
      </c>
      <c r="F45" s="172"/>
      <c r="G45" s="172">
        <v>16</v>
      </c>
      <c r="H45" s="172"/>
      <c r="I45" s="172">
        <v>11</v>
      </c>
      <c r="J45" s="172"/>
      <c r="K45" s="172">
        <v>-70</v>
      </c>
      <c r="L45" s="172"/>
      <c r="M45" s="172">
        <f>(E45+G45+I45+K45)</f>
        <v>-25</v>
      </c>
      <c r="N45" s="172"/>
      <c r="O45" s="172">
        <v>0</v>
      </c>
      <c r="P45" s="48"/>
      <c r="Q45" s="48">
        <f>M45+O45</f>
        <v>-25</v>
      </c>
    </row>
    <row r="46" spans="3:17" ht="11.25" customHeight="1">
      <c r="C46" s="1" t="s">
        <v>158</v>
      </c>
      <c r="E46" s="172">
        <v>235</v>
      </c>
      <c r="F46" s="172"/>
      <c r="G46" s="172">
        <v>107</v>
      </c>
      <c r="H46" s="172"/>
      <c r="I46" s="172">
        <v>11</v>
      </c>
      <c r="J46" s="172"/>
      <c r="K46" s="172">
        <v>-78</v>
      </c>
      <c r="L46" s="172"/>
      <c r="M46" s="172">
        <f>(E46+G46+I46+K46)</f>
        <v>275</v>
      </c>
      <c r="N46" s="172"/>
      <c r="O46" s="172">
        <v>-2</v>
      </c>
      <c r="P46" s="48"/>
      <c r="Q46" s="48">
        <f>M46+O46</f>
        <v>273</v>
      </c>
    </row>
    <row r="47" spans="3:19" ht="11.25" customHeight="1">
      <c r="C47" s="176" t="s">
        <v>64</v>
      </c>
      <c r="D47" s="205"/>
      <c r="E47" s="265">
        <f>E40+E42+E43-E44-E45-E46</f>
        <v>683</v>
      </c>
      <c r="F47" s="265"/>
      <c r="G47" s="265">
        <f>G40+G42+G43-G44-G45-G46</f>
        <v>501</v>
      </c>
      <c r="H47" s="265"/>
      <c r="I47" s="265">
        <f>I40+I42+I43-I44-I45-I46</f>
        <v>-87</v>
      </c>
      <c r="J47" s="265"/>
      <c r="K47" s="265">
        <f>K40+K42+K43-K44-K45-K46</f>
        <v>-188</v>
      </c>
      <c r="L47" s="265"/>
      <c r="M47" s="265">
        <f>M40+M42+M43-M44-M45-M46</f>
        <v>909</v>
      </c>
      <c r="N47" s="265"/>
      <c r="O47" s="265">
        <f>O40+O42+O43-O44-O45-O46</f>
        <v>119</v>
      </c>
      <c r="P47" s="265"/>
      <c r="Q47" s="265">
        <f>Q40+Q42+Q43-Q44-Q45-Q46</f>
        <v>1028</v>
      </c>
      <c r="R47" s="176"/>
      <c r="S47" s="176"/>
    </row>
    <row r="48" spans="3:19" ht="6" customHeight="1">
      <c r="C48" s="205"/>
      <c r="D48" s="205"/>
      <c r="E48" s="218"/>
      <c r="F48" s="218"/>
      <c r="G48" s="218"/>
      <c r="H48" s="218"/>
      <c r="I48" s="218"/>
      <c r="J48" s="218"/>
      <c r="K48" s="218"/>
      <c r="L48" s="218"/>
      <c r="M48" s="218"/>
      <c r="N48" s="218"/>
      <c r="O48" s="218"/>
      <c r="P48" s="218"/>
      <c r="Q48" s="218"/>
      <c r="R48" s="176"/>
      <c r="S48" s="176"/>
    </row>
    <row r="49" spans="3:19" ht="11.25" customHeight="1">
      <c r="C49" s="176" t="s">
        <v>173</v>
      </c>
      <c r="D49" s="176"/>
      <c r="E49" s="216">
        <v>15</v>
      </c>
      <c r="F49" s="216"/>
      <c r="G49" s="216">
        <v>51</v>
      </c>
      <c r="H49" s="216"/>
      <c r="I49" s="216">
        <v>-4</v>
      </c>
      <c r="J49" s="216"/>
      <c r="K49" s="216">
        <v>-5</v>
      </c>
      <c r="L49" s="216"/>
      <c r="M49" s="216">
        <f>(E49+G49+I49+K49)</f>
        <v>57</v>
      </c>
      <c r="N49" s="216"/>
      <c r="O49" s="216">
        <v>19</v>
      </c>
      <c r="P49" s="216"/>
      <c r="Q49" s="216">
        <f>M49+O49</f>
        <v>76</v>
      </c>
      <c r="R49" s="176"/>
      <c r="S49" s="176"/>
    </row>
    <row r="50" spans="3:19" ht="11.25" customHeight="1">
      <c r="C50" s="177" t="s">
        <v>266</v>
      </c>
      <c r="D50" s="177"/>
      <c r="E50" s="55">
        <v>-7</v>
      </c>
      <c r="F50" s="216"/>
      <c r="G50" s="216">
        <v>13</v>
      </c>
      <c r="H50" s="216"/>
      <c r="I50" s="216">
        <v>0</v>
      </c>
      <c r="J50" s="216"/>
      <c r="K50" s="216">
        <v>-3</v>
      </c>
      <c r="L50" s="216"/>
      <c r="M50" s="172">
        <f>(E50+G50+I50+K50)</f>
        <v>3</v>
      </c>
      <c r="N50" s="216"/>
      <c r="O50" s="216">
        <v>0</v>
      </c>
      <c r="P50" s="216"/>
      <c r="Q50" s="48">
        <f>M50+O50</f>
        <v>3</v>
      </c>
      <c r="R50" s="176"/>
      <c r="S50" s="176"/>
    </row>
    <row r="51" spans="3:19" ht="13.5" customHeight="1" thickBot="1">
      <c r="C51" s="177" t="s">
        <v>268</v>
      </c>
      <c r="D51" s="176"/>
      <c r="E51" s="217">
        <f>E47-E49+E50</f>
        <v>661</v>
      </c>
      <c r="F51" s="198"/>
      <c r="G51" s="217">
        <f>G47-G49+G50</f>
        <v>463</v>
      </c>
      <c r="H51" s="217"/>
      <c r="I51" s="217">
        <f>I47-I49+I50</f>
        <v>-83</v>
      </c>
      <c r="J51" s="198"/>
      <c r="K51" s="217">
        <f>K47-K49+K50</f>
        <v>-186</v>
      </c>
      <c r="L51" s="198"/>
      <c r="M51" s="217">
        <f>M47-M49+M50</f>
        <v>855</v>
      </c>
      <c r="N51" s="198"/>
      <c r="O51" s="217">
        <f>O47-O49+O50</f>
        <v>100</v>
      </c>
      <c r="P51" s="198"/>
      <c r="Q51" s="217">
        <f>Q47-Q49+Q50</f>
        <v>955</v>
      </c>
      <c r="R51" s="176"/>
      <c r="S51" s="176"/>
    </row>
    <row r="52" spans="3:17" ht="9" customHeight="1" thickTop="1">
      <c r="C52" s="571" t="str">
        <f>+'Financial Highlights'!C48</f>
        <v>(1) See page 25 Non-GAAP Financial Measures.</v>
      </c>
      <c r="D52" s="44"/>
      <c r="E52" s="53"/>
      <c r="F52" s="52"/>
      <c r="G52" s="53"/>
      <c r="H52" s="53"/>
      <c r="I52" s="52"/>
      <c r="J52" s="52"/>
      <c r="K52" s="34"/>
      <c r="L52" s="34"/>
      <c r="M52" s="52"/>
      <c r="N52" s="52"/>
      <c r="O52" s="52"/>
      <c r="P52" s="52"/>
      <c r="Q52" s="52"/>
    </row>
    <row r="53" spans="5:17" ht="11.25">
      <c r="E53" s="378"/>
      <c r="F53" s="42"/>
      <c r="H53" s="378"/>
      <c r="J53" s="42"/>
      <c r="K53" s="42"/>
      <c r="L53" s="42"/>
      <c r="M53" s="42"/>
      <c r="N53" s="42"/>
      <c r="O53" s="42"/>
      <c r="P53" s="42"/>
      <c r="Q53" s="44"/>
    </row>
    <row r="54" spans="5:17" ht="11.25">
      <c r="E54" s="42"/>
      <c r="F54" s="42"/>
      <c r="H54" s="378"/>
      <c r="J54" s="42"/>
      <c r="K54" s="42"/>
      <c r="L54" s="42"/>
      <c r="M54" s="42"/>
      <c r="N54" s="42"/>
      <c r="O54" s="42"/>
      <c r="P54" s="42"/>
      <c r="Q54" s="44"/>
    </row>
    <row r="55" spans="3:17" ht="11.25">
      <c r="C55" s="82" t="s">
        <v>447</v>
      </c>
      <c r="E55" s="42"/>
      <c r="F55" s="42"/>
      <c r="H55" s="378"/>
      <c r="J55" s="42"/>
      <c r="K55" s="42"/>
      <c r="L55" s="42"/>
      <c r="M55" s="42"/>
      <c r="N55" s="42"/>
      <c r="O55" s="42"/>
      <c r="P55" s="42"/>
      <c r="Q55" s="44"/>
    </row>
    <row r="56" spans="3:17" ht="11.25" customHeight="1">
      <c r="C56" s="1" t="s">
        <v>130</v>
      </c>
      <c r="E56" s="17">
        <v>0.704</v>
      </c>
      <c r="F56" s="17"/>
      <c r="G56" s="17">
        <v>0.523</v>
      </c>
      <c r="H56" s="27"/>
      <c r="I56" s="17">
        <v>0.518</v>
      </c>
      <c r="J56" s="17"/>
      <c r="K56" s="52"/>
      <c r="L56" s="52"/>
      <c r="M56" s="17">
        <v>0.612</v>
      </c>
      <c r="N56" s="52"/>
      <c r="O56" s="263"/>
      <c r="P56"/>
      <c r="Q56" s="17">
        <v>0.612</v>
      </c>
    </row>
    <row r="57" spans="3:17" ht="11.25" customHeight="1">
      <c r="C57" s="1" t="s">
        <v>137</v>
      </c>
      <c r="E57" s="17">
        <v>0.092</v>
      </c>
      <c r="F57" s="17"/>
      <c r="G57" s="17">
        <v>0.198</v>
      </c>
      <c r="H57" s="27"/>
      <c r="I57" s="17">
        <v>0.201</v>
      </c>
      <c r="J57" s="17"/>
      <c r="K57" s="52"/>
      <c r="L57" s="52"/>
      <c r="M57" s="17">
        <v>0.146</v>
      </c>
      <c r="N57" s="52"/>
      <c r="O57" s="263"/>
      <c r="P57"/>
      <c r="Q57" s="17">
        <v>0.146</v>
      </c>
    </row>
    <row r="58" spans="3:17" ht="11.25" customHeight="1">
      <c r="C58" s="1" t="s">
        <v>145</v>
      </c>
      <c r="E58" s="19">
        <v>0.088</v>
      </c>
      <c r="F58" s="19"/>
      <c r="G58" s="19">
        <v>0.141</v>
      </c>
      <c r="H58" s="28"/>
      <c r="I58" s="19">
        <v>0.041</v>
      </c>
      <c r="J58" s="18"/>
      <c r="K58" s="52"/>
      <c r="L58" s="52"/>
      <c r="M58" s="19">
        <v>0.123</v>
      </c>
      <c r="N58" s="52"/>
      <c r="O58" s="263"/>
      <c r="P58" s="263"/>
      <c r="Q58" s="19">
        <v>0.123</v>
      </c>
    </row>
    <row r="59" spans="3:18" ht="11.25" customHeight="1" thickBot="1">
      <c r="C59" s="7" t="s">
        <v>59</v>
      </c>
      <c r="D59" s="7"/>
      <c r="E59" s="184">
        <f>SUM(E56:E58)</f>
        <v>0.8839999999999999</v>
      </c>
      <c r="F59" s="184"/>
      <c r="G59" s="184">
        <f>SUM(G56:G58)</f>
        <v>0.8620000000000001</v>
      </c>
      <c r="H59" s="194"/>
      <c r="I59" s="184">
        <f>SUM(I56:I58)</f>
        <v>0.7600000000000001</v>
      </c>
      <c r="J59" s="18"/>
      <c r="K59" s="52"/>
      <c r="L59" s="52"/>
      <c r="M59" s="184">
        <f>SUM(M56:M58)</f>
        <v>0.881</v>
      </c>
      <c r="N59" s="18"/>
      <c r="O59" s="263"/>
      <c r="P59" s="263"/>
      <c r="Q59" s="184">
        <f>SUM(Q56:Q58)</f>
        <v>0.881</v>
      </c>
      <c r="R59" s="166"/>
    </row>
    <row r="60" spans="14:16" ht="13.5" thickTop="1">
      <c r="N60" s="12"/>
      <c r="O60"/>
      <c r="P60"/>
    </row>
  </sheetData>
  <sheetProtection objects="1"/>
  <conditionalFormatting sqref="E49 G49 I49 K49 M49 Q49 O49">
    <cfRule type="cellIs" priority="1" dxfId="1" operator="notEqual" stopIfTrue="1">
      <formula>E43</formula>
    </cfRule>
  </conditionalFormatting>
  <conditionalFormatting sqref="M27 G27 I27 K27 Q27 E27 O27">
    <cfRule type="cellIs" priority="2" dxfId="1" operator="notEqual" stopIfTrue="1">
      <formula>E20</formula>
    </cfRule>
  </conditionalFormatting>
  <hyperlinks>
    <hyperlink ref="C52" location="'Reconciliation Non-GAAP'!Print_Area" display="'Reconciliation Non-GAAP'!Print_Area"/>
  </hyperlinks>
  <printOptions/>
  <pageMargins left="0.5" right="0.5" top="0.5" bottom="0.4" header="0.75" footer="0.25"/>
  <pageSetup fitToHeight="1" fitToWidth="1" horizontalDpi="600" verticalDpi="600" orientation="landscape" scale="91" r:id="rId2"/>
  <headerFooter alignWithMargins="0">
    <oddFooter>&amp;L&amp;A&amp;R&amp;"Arial,Regular"&amp;8Page 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Message</dc:title>
  <dc:subject/>
  <dc:creator>Sabra Purtill</dc:creator>
  <cp:keywords/>
  <dc:description/>
  <cp:lastModifiedBy>Thomson Financial</cp:lastModifiedBy>
  <cp:lastPrinted>2007-01-30T17:19:24Z</cp:lastPrinted>
  <dcterms:created xsi:type="dcterms:W3CDTF">2002-06-18T14:43:31Z</dcterms:created>
  <dcterms:modified xsi:type="dcterms:W3CDTF">2007-01-30T22:20:58Z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