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945" activeTab="0"/>
  </bookViews>
  <sheets>
    <sheet name="Cover" sheetId="1" r:id="rId1"/>
    <sheet name="Table of Contents" sheetId="2" r:id="rId2"/>
    <sheet name="Financial Highlights" sheetId="3" r:id="rId3"/>
    <sheet name="Consolidated Results" sheetId="4" r:id="rId4"/>
    <sheet name="Consol Bal Sheet" sheetId="5" r:id="rId5"/>
    <sheet name="Line of Business " sheetId="6" r:id="rId6"/>
    <sheet name="Segment  2007 Qtr" sheetId="7" r:id="rId7"/>
    <sheet name="Segment  2007 YTD" sheetId="8" r:id="rId8"/>
    <sheet name="Insurance-North American " sheetId="9" r:id="rId9"/>
    <sheet name="Insurance-Overseas General " sheetId="10" r:id="rId10"/>
    <sheet name="Global Reinsurance " sheetId="11" r:id="rId11"/>
    <sheet name="Global Reinsurance 2" sheetId="12" r:id="rId12"/>
    <sheet name="Life" sheetId="13" r:id="rId13"/>
    <sheet name="Loss Reserve Rollforward" sheetId="14" r:id="rId14"/>
    <sheet name="Reinsurance Recoverable" sheetId="15" r:id="rId15"/>
    <sheet name="Reinsurance Rec-Active" sheetId="16" r:id="rId16"/>
    <sheet name="Reinsurance Rec-Consolidated" sheetId="17" r:id="rId17"/>
    <sheet name="Reinsurance Recoverable 4" sheetId="18" r:id="rId18"/>
    <sheet name="Investments" sheetId="19" r:id="rId19"/>
    <sheet name="Investment Gains (Losses) " sheetId="20" r:id="rId20"/>
    <sheet name="Capital Structure" sheetId="21" r:id="rId21"/>
    <sheet name="Earnings per share " sheetId="22" r:id="rId22"/>
    <sheet name="Reconciliation Non-GAAP" sheetId="23" r:id="rId23"/>
    <sheet name="Reconciliation Book Value" sheetId="24" r:id="rId24"/>
    <sheet name="Comprehensive Income" sheetId="25" r:id="rId25"/>
    <sheet name="Glossary" sheetId="26" r:id="rId26"/>
  </sheets>
  <definedNames>
    <definedName name="_xlnm.Print_Area" localSheetId="20">'Capital Structure'!$A$1:$M$31</definedName>
    <definedName name="_xlnm.Print_Area" localSheetId="24">'Comprehensive Income'!$A$1:$R$20</definedName>
    <definedName name="_xlnm.Print_Area" localSheetId="4">'Consol Bal Sheet'!$A$1:$L$52</definedName>
    <definedName name="_xlnm.Print_Area" localSheetId="3">'Consolidated Results'!$A$1:$S$51</definedName>
    <definedName name="_xlnm.Print_Area" localSheetId="0">'Cover'!$A$1:$N$29</definedName>
    <definedName name="_xlnm.Print_Area" localSheetId="21">'Earnings per share '!$A$1:$J$41</definedName>
    <definedName name="_xlnm.Print_Area" localSheetId="2">'Financial Highlights'!$A$1:$P$50</definedName>
    <definedName name="_xlnm.Print_Area" localSheetId="10">'Global Reinsurance '!$A$1:$S$38</definedName>
    <definedName name="_xlnm.Print_Area" localSheetId="11">'Global Reinsurance 2'!$A$1:$S$46</definedName>
    <definedName name="_xlnm.Print_Area" localSheetId="25">'Glossary'!$A$1:$G$33</definedName>
    <definedName name="_xlnm.Print_Area" localSheetId="8">'Insurance-North American '!$A$1:$S$46</definedName>
    <definedName name="_xlnm.Print_Area" localSheetId="9">'Insurance-Overseas General '!$A$1:$S$45</definedName>
    <definedName name="_xlnm.Print_Area" localSheetId="19">'Investment Gains (Losses) '!$A$1:$Q$42</definedName>
    <definedName name="_xlnm.Print_Area" localSheetId="18">'Investments'!$B$1:$M$46</definedName>
    <definedName name="_xlnm.Print_Area" localSheetId="12">'Life'!$A$1:$S$28</definedName>
    <definedName name="_xlnm.Print_Area" localSheetId="5">'Line of Business '!$A$1:$W$28</definedName>
    <definedName name="_xlnm.Print_Area" localSheetId="13">'Loss Reserve Rollforward'!$A$1:$N$44</definedName>
    <definedName name="_xlnm.Print_Area" localSheetId="23">'Reconciliation Book Value'!$A$1:$J$22</definedName>
    <definedName name="_xlnm.Print_Area" localSheetId="22">'Reconciliation Non-GAAP'!$A$1:$N$19</definedName>
    <definedName name="_xlnm.Print_Area" localSheetId="15">'Reinsurance Rec-Active'!$A$1:$J$45</definedName>
    <definedName name="_xlnm.Print_Area" localSheetId="16">'Reinsurance Rec-Consolidated'!$A$1:$J$43</definedName>
    <definedName name="_xlnm.Print_Area" localSheetId="14">'Reinsurance Recoverable'!$A$1:$M$43</definedName>
    <definedName name="_xlnm.Print_Area" localSheetId="17">'Reinsurance Recoverable 4'!$A$1:$K$29</definedName>
    <definedName name="_xlnm.Print_Area" localSheetId="6">'Segment  2007 Qtr'!$A$1:$R$50</definedName>
    <definedName name="_xlnm.Print_Area" localSheetId="7">'Segment  2007 YTD'!$A$1:$R$54</definedName>
    <definedName name="_xlnm.Print_Area" localSheetId="1">'Table of Contents'!$A$1:$F$34</definedName>
    <definedName name="_xlnm.Print_Titles" localSheetId="1">'Table of Contents'!$1:$4</definedName>
    <definedName name="Z_B1C67769_00E4_4820_A414_9C5F6475FA36_.wvu.Cols" localSheetId="24" hidden="1">'Comprehensive Income'!#REF!</definedName>
    <definedName name="Z_B1C67769_00E4_4820_A414_9C5F6475FA36_.wvu.Cols" localSheetId="3" hidden="1">'Consolidated Results'!$V:$V</definedName>
    <definedName name="Z_B1C67769_00E4_4820_A414_9C5F6475FA36_.wvu.Cols" localSheetId="12" hidden="1">'Life'!#REF!</definedName>
    <definedName name="Z_B1C67769_00E4_4820_A414_9C5F6475FA36_.wvu.PrintArea" localSheetId="20" hidden="1">'Capital Structure'!$A$1:$M$31</definedName>
    <definedName name="Z_B1C67769_00E4_4820_A414_9C5F6475FA36_.wvu.PrintArea" localSheetId="24" hidden="1">'Comprehensive Income'!$A$1:$Q$19</definedName>
    <definedName name="Z_B1C67769_00E4_4820_A414_9C5F6475FA36_.wvu.PrintArea" localSheetId="4" hidden="1">'Consol Bal Sheet'!$A$1:$O$52</definedName>
    <definedName name="Z_B1C67769_00E4_4820_A414_9C5F6475FA36_.wvu.PrintArea" localSheetId="3" hidden="1">'Consolidated Results'!$B$1:$T$38</definedName>
    <definedName name="Z_B1C67769_00E4_4820_A414_9C5F6475FA36_.wvu.PrintArea" localSheetId="0" hidden="1">'Cover'!$A$1:$N$30</definedName>
    <definedName name="Z_B1C67769_00E4_4820_A414_9C5F6475FA36_.wvu.PrintArea" localSheetId="21" hidden="1">'Earnings per share '!$A$1:$H$41</definedName>
    <definedName name="Z_B1C67769_00E4_4820_A414_9C5F6475FA36_.wvu.PrintArea" localSheetId="2" hidden="1">'Financial Highlights'!$B$1:$O$50</definedName>
    <definedName name="Z_B1C67769_00E4_4820_A414_9C5F6475FA36_.wvu.PrintArea" localSheetId="10" hidden="1">'Global Reinsurance '!$A$1:$S$38</definedName>
    <definedName name="Z_B1C67769_00E4_4820_A414_9C5F6475FA36_.wvu.PrintArea" localSheetId="11" hidden="1">'Global Reinsurance 2'!$A$1:$S$45</definedName>
    <definedName name="Z_B1C67769_00E4_4820_A414_9C5F6475FA36_.wvu.PrintArea" localSheetId="25" hidden="1">'Glossary'!$A$1:$G$33</definedName>
    <definedName name="Z_B1C67769_00E4_4820_A414_9C5F6475FA36_.wvu.PrintArea" localSheetId="8" hidden="1">'Insurance-North American '!$A$1:$U$45</definedName>
    <definedName name="Z_B1C67769_00E4_4820_A414_9C5F6475FA36_.wvu.PrintArea" localSheetId="9" hidden="1">'Insurance-Overseas General '!$A$1:$S$45</definedName>
    <definedName name="Z_B1C67769_00E4_4820_A414_9C5F6475FA36_.wvu.PrintArea" localSheetId="19" hidden="1">'Investment Gains (Losses) '!$A$1:$K$42</definedName>
    <definedName name="Z_B1C67769_00E4_4820_A414_9C5F6475FA36_.wvu.PrintArea" localSheetId="18" hidden="1">'Investments'!$B$1:$S$46</definedName>
    <definedName name="Z_B1C67769_00E4_4820_A414_9C5F6475FA36_.wvu.PrintArea" localSheetId="12" hidden="1">'Life'!$B$1:$S$25</definedName>
    <definedName name="Z_B1C67769_00E4_4820_A414_9C5F6475FA36_.wvu.PrintArea" localSheetId="5" hidden="1">'Line of Business '!$A$1:$Q$27</definedName>
    <definedName name="Z_B1C67769_00E4_4820_A414_9C5F6475FA36_.wvu.PrintArea" localSheetId="13" hidden="1">'Loss Reserve Rollforward'!$B$1:$N$17</definedName>
    <definedName name="Z_B1C67769_00E4_4820_A414_9C5F6475FA36_.wvu.PrintArea" localSheetId="23" hidden="1">'Reconciliation Book Value'!$A$1:$J$22</definedName>
    <definedName name="Z_B1C67769_00E4_4820_A414_9C5F6475FA36_.wvu.PrintArea" localSheetId="22" hidden="1">'Reconciliation Non-GAAP'!$A$1:$L$18</definedName>
    <definedName name="Z_B1C67769_00E4_4820_A414_9C5F6475FA36_.wvu.PrintArea" localSheetId="15" hidden="1">'Reinsurance Rec-Active'!$A$1:$J$25</definedName>
    <definedName name="Z_B1C67769_00E4_4820_A414_9C5F6475FA36_.wvu.PrintArea" localSheetId="16" hidden="1">'Reinsurance Rec-Consolidated'!$A$1:$L$44</definedName>
    <definedName name="Z_B1C67769_00E4_4820_A414_9C5F6475FA36_.wvu.PrintArea" localSheetId="14" hidden="1">'Reinsurance Recoverable'!$A$1:$O$48</definedName>
    <definedName name="Z_B1C67769_00E4_4820_A414_9C5F6475FA36_.wvu.PrintArea" localSheetId="17" hidden="1">'Reinsurance Recoverable 4'!$A$1:$K$46</definedName>
    <definedName name="Z_B1C67769_00E4_4820_A414_9C5F6475FA36_.wvu.PrintArea" localSheetId="6" hidden="1">'Segment  2007 Qtr'!$A$1:$R$50</definedName>
    <definedName name="Z_B1C67769_00E4_4820_A414_9C5F6475FA36_.wvu.PrintArea" localSheetId="7" hidden="1">'Segment  2007 YTD'!$A$1:$R$54</definedName>
  </definedNames>
  <calcPr fullCalcOnLoad="1"/>
</workbook>
</file>

<file path=xl/sharedStrings.xml><?xml version="1.0" encoding="utf-8"?>
<sst xmlns="http://schemas.openxmlformats.org/spreadsheetml/2006/main" count="1095" uniqueCount="516">
  <si>
    <t>- Net Realized and Unrealized Gains (Losses)</t>
  </si>
  <si>
    <t>Net Realized and Unrealized Gains (Losses)</t>
  </si>
  <si>
    <t>Large losses and other items (before tax)</t>
  </si>
  <si>
    <t>Comprehensive income</t>
  </si>
  <si>
    <t>Basic earnings per share</t>
  </si>
  <si>
    <t xml:space="preserve">   Net income </t>
  </si>
  <si>
    <t xml:space="preserve">Total </t>
  </si>
  <si>
    <t xml:space="preserve">Net investment income </t>
  </si>
  <si>
    <t>Total NPW/GPW</t>
  </si>
  <si>
    <t xml:space="preserve">   Total debt</t>
  </si>
  <si>
    <t>Credit Quality by Market Value</t>
  </si>
  <si>
    <t>- Consolidated Premiums by Line of Business</t>
  </si>
  <si>
    <t>Other FAS 133 adjustments</t>
  </si>
  <si>
    <t>% Change versus prior year period</t>
  </si>
  <si>
    <t>Other ratios</t>
  </si>
  <si>
    <t>Property and all other</t>
  </si>
  <si>
    <t>- Consolidated Financial Highlights</t>
  </si>
  <si>
    <t>Full Year</t>
  </si>
  <si>
    <t xml:space="preserve">Net premiums earned </t>
  </si>
  <si>
    <t>Annualized ROE*</t>
  </si>
  <si>
    <t>Non-GAAP Financial Measures</t>
  </si>
  <si>
    <t>- Non-GAAP Financial Measures</t>
  </si>
  <si>
    <r>
      <t xml:space="preserve">FAS 115:  </t>
    </r>
    <r>
      <rPr>
        <sz val="8"/>
        <rFont val="News Gothic"/>
        <family val="0"/>
      </rPr>
      <t>U</t>
    </r>
    <r>
      <rPr>
        <sz val="8"/>
        <rFont val="News Gothic"/>
        <family val="2"/>
      </rPr>
      <t>nrealized gains (losses) on investments and the deferred tax component included in shareholders' equity.</t>
    </r>
  </si>
  <si>
    <r>
      <t xml:space="preserve">Life underwriting income:  </t>
    </r>
    <r>
      <rPr>
        <sz val="8"/>
        <rFont val="News Gothic"/>
        <family val="0"/>
      </rPr>
      <t>N</t>
    </r>
    <r>
      <rPr>
        <sz val="8"/>
        <rFont val="News Gothic"/>
        <family val="2"/>
      </rPr>
      <t>et premium earned and net investment income less future policy benefits, acquisition costs and administrative expenses.</t>
    </r>
  </si>
  <si>
    <r>
      <t>NM:</t>
    </r>
    <r>
      <rPr>
        <sz val="8"/>
        <rFont val="News Gothic"/>
        <family val="2"/>
      </rPr>
      <t xml:space="preserve">  Not meaningful.</t>
    </r>
  </si>
  <si>
    <r>
      <t xml:space="preserve">Ordinary shareholders' equity: </t>
    </r>
    <r>
      <rPr>
        <sz val="8"/>
        <rFont val="News Gothic"/>
        <family val="0"/>
      </rPr>
      <t xml:space="preserve"> S</t>
    </r>
    <r>
      <rPr>
        <sz val="8"/>
        <rFont val="News Gothic"/>
        <family val="2"/>
      </rPr>
      <t>hareholders' equity less perpetual preferred shares.</t>
    </r>
  </si>
  <si>
    <r>
      <t xml:space="preserve">Tangible equity:  </t>
    </r>
    <r>
      <rPr>
        <sz val="8"/>
        <rFont val="News Gothic"/>
        <family val="0"/>
      </rPr>
      <t>S</t>
    </r>
    <r>
      <rPr>
        <sz val="8"/>
        <rFont val="News Gothic"/>
        <family val="2"/>
      </rPr>
      <t>hareholders' equity less goodwill.</t>
    </r>
  </si>
  <si>
    <t>I.</t>
  </si>
  <si>
    <t>II.</t>
  </si>
  <si>
    <t>Consolidated Results</t>
  </si>
  <si>
    <t>III.</t>
  </si>
  <si>
    <t>Segment Results</t>
  </si>
  <si>
    <t>IV.</t>
  </si>
  <si>
    <t>Balance Sheet Details</t>
  </si>
  <si>
    <t>V.</t>
  </si>
  <si>
    <t>Less: goodwill</t>
  </si>
  <si>
    <t>- Global Reinsurance</t>
  </si>
  <si>
    <t>Net Reinsurance Recoverable by Division</t>
  </si>
  <si>
    <t>Debt plus total preferred stock/ total capitalization</t>
  </si>
  <si>
    <t>- Computation of Basic and Diluted Earnings Per Share</t>
  </si>
  <si>
    <t>- Summary Consolidated Balance Sheets</t>
  </si>
  <si>
    <t xml:space="preserve">  Unrealized appreciation (depreciation) on investments</t>
  </si>
  <si>
    <t>- Consolidated Results - Consecutive Quarters</t>
  </si>
  <si>
    <t>Total shareholders' equity, excl. AOCI</t>
  </si>
  <si>
    <t xml:space="preserve">    Total shareholders' equity</t>
  </si>
  <si>
    <t>Regulation G - Non-GAAP Financial Measures</t>
  </si>
  <si>
    <t xml:space="preserve">     included in net income</t>
  </si>
  <si>
    <t>Leverage ratios</t>
  </si>
  <si>
    <t>Ceded</t>
  </si>
  <si>
    <r>
      <t>Run-off</t>
    </r>
    <r>
      <rPr>
        <b/>
        <vertAlign val="superscript"/>
        <sz val="8"/>
        <rFont val="News Gothic"/>
        <family val="2"/>
      </rPr>
      <t xml:space="preserve"> (1)</t>
    </r>
  </si>
  <si>
    <t>- Capital Structure</t>
  </si>
  <si>
    <t>- Investment Portfolio</t>
  </si>
  <si>
    <t>Accumulated other comprehensive income (AOCI)</t>
  </si>
  <si>
    <t>Net premiums written/gross premiums written</t>
  </si>
  <si>
    <t xml:space="preserve">   Combined ratio</t>
  </si>
  <si>
    <t xml:space="preserve">   Underwriting income</t>
  </si>
  <si>
    <t xml:space="preserve">   Adj. wtd. avg. shares outstanding and assumed conversions</t>
  </si>
  <si>
    <t xml:space="preserve">   Underwriting income (loss)</t>
  </si>
  <si>
    <t xml:space="preserve">   Net income (loss)</t>
  </si>
  <si>
    <t xml:space="preserve">   Total</t>
  </si>
  <si>
    <t xml:space="preserve">Treasury </t>
  </si>
  <si>
    <t>Agency</t>
  </si>
  <si>
    <t xml:space="preserve">Corporate </t>
  </si>
  <si>
    <t>Mortgage-backed securities</t>
  </si>
  <si>
    <t>Asset-backed securities</t>
  </si>
  <si>
    <t>Municipal</t>
  </si>
  <si>
    <t xml:space="preserve">   Total shareholders' equity</t>
  </si>
  <si>
    <t xml:space="preserve">   Other comprehensive income (loss)</t>
  </si>
  <si>
    <t xml:space="preserve">Cautionary Statement Regarding Forward-Looking Statements: 
</t>
  </si>
  <si>
    <t>Total liabilities and shareholders' equity</t>
  </si>
  <si>
    <t>Helen M. Wilson</t>
  </si>
  <si>
    <t>AA</t>
  </si>
  <si>
    <t>Consolidating Statement of Operations</t>
  </si>
  <si>
    <t xml:space="preserve">Fixed maturities available for sale, at fair value </t>
  </si>
  <si>
    <t>Equity securities, at fair value</t>
  </si>
  <si>
    <t>Segment Results - Consecutive Quarters</t>
  </si>
  <si>
    <t>Ongoing</t>
  </si>
  <si>
    <t>Total short-term debt</t>
  </si>
  <si>
    <t>Fixed maturities</t>
  </si>
  <si>
    <t>Equity securities</t>
  </si>
  <si>
    <t xml:space="preserve">Weighted average diluted ordinary shares outstanding </t>
  </si>
  <si>
    <t>Insurance - Overseas General</t>
  </si>
  <si>
    <t>Total capitalization</t>
  </si>
  <si>
    <t>BB</t>
  </si>
  <si>
    <t>Corporate</t>
  </si>
  <si>
    <t>Short-term investments</t>
  </si>
  <si>
    <t>Net</t>
  </si>
  <si>
    <t>Losses and loss expenses incurred</t>
  </si>
  <si>
    <t>Losses and loss expenses paid</t>
  </si>
  <si>
    <t>ACE Limited</t>
  </si>
  <si>
    <t>ACE</t>
  </si>
  <si>
    <t>North</t>
  </si>
  <si>
    <t>Overseas</t>
  </si>
  <si>
    <t>Global</t>
  </si>
  <si>
    <t>General</t>
  </si>
  <si>
    <t>Reinsurance</t>
  </si>
  <si>
    <t>Consolidated</t>
  </si>
  <si>
    <t>Cash</t>
  </si>
  <si>
    <t>Insurance and reinsurance balances receivable</t>
  </si>
  <si>
    <t>Reinsurance recoverable</t>
  </si>
  <si>
    <t>Deferred policy acquisition costs</t>
  </si>
  <si>
    <t>Prepaid reinsurance premiums</t>
  </si>
  <si>
    <t>Goodwill</t>
  </si>
  <si>
    <t>Deferred tax assets</t>
  </si>
  <si>
    <t>Other assets</t>
  </si>
  <si>
    <t>Unpaid losses and loss expenses</t>
  </si>
  <si>
    <t>Unearned premiums</t>
  </si>
  <si>
    <t>Future policy benefits for life and annuity contracts</t>
  </si>
  <si>
    <t>Insurance and reinsurance balances payable</t>
  </si>
  <si>
    <t>Accounts payable, accrued expenses and other liabilities</t>
  </si>
  <si>
    <t>Short-term debt</t>
  </si>
  <si>
    <t>Long-term debt</t>
  </si>
  <si>
    <t>Trust preferred securities</t>
  </si>
  <si>
    <t xml:space="preserve">   Total liabilities</t>
  </si>
  <si>
    <t>Shareholders' equity</t>
  </si>
  <si>
    <t xml:space="preserve">   Income excluding net realized gains (losses)</t>
  </si>
  <si>
    <t>Global Reinsurance</t>
  </si>
  <si>
    <t>Total</t>
  </si>
  <si>
    <t>Life and annuity benefits</t>
  </si>
  <si>
    <t>Losses and loss expenses</t>
  </si>
  <si>
    <t>Life</t>
  </si>
  <si>
    <t>Net investment income</t>
  </si>
  <si>
    <t>Income tax expense</t>
  </si>
  <si>
    <t>Loss and loss expense ratio</t>
  </si>
  <si>
    <t>Gross premiums written</t>
  </si>
  <si>
    <t>Net premiums written</t>
  </si>
  <si>
    <t>Net premiums earned</t>
  </si>
  <si>
    <t>Administrative expenses</t>
  </si>
  <si>
    <t>Combined ratio</t>
  </si>
  <si>
    <t>Policy acquisition costs</t>
  </si>
  <si>
    <t>Policy acquisition cost ratio</t>
  </si>
  <si>
    <t>Market Value per Balance Sheet</t>
  </si>
  <si>
    <t>Cost</t>
  </si>
  <si>
    <t>Income tax (expense) benefit related to other comprehensive</t>
  </si>
  <si>
    <t xml:space="preserve">    income items</t>
  </si>
  <si>
    <t>Assets</t>
  </si>
  <si>
    <t>Liabilities</t>
  </si>
  <si>
    <t>Asset Allocation by Market Value</t>
  </si>
  <si>
    <t>Administrative expense ratio</t>
  </si>
  <si>
    <t>Interest expense</t>
  </si>
  <si>
    <t>Financial Highlights</t>
  </si>
  <si>
    <t>Other</t>
  </si>
  <si>
    <t>AAA</t>
  </si>
  <si>
    <t xml:space="preserve">AA </t>
  </si>
  <si>
    <t>A</t>
  </si>
  <si>
    <t>BBB</t>
  </si>
  <si>
    <t>B</t>
  </si>
  <si>
    <t>(in millions of U.S. dollars)</t>
  </si>
  <si>
    <t>Gross</t>
  </si>
  <si>
    <t>Page</t>
  </si>
  <si>
    <t>Consolidated Statements of Operations</t>
  </si>
  <si>
    <t>Income tax expense (benefit)</t>
  </si>
  <si>
    <t>Financial Supplement Table of Contents</t>
  </si>
  <si>
    <t>Net reinsurance recoverable</t>
  </si>
  <si>
    <t>Capital Structure</t>
  </si>
  <si>
    <t>Insurance -</t>
  </si>
  <si>
    <t>American</t>
  </si>
  <si>
    <t>Securities lending collateral</t>
  </si>
  <si>
    <t>&amp; Other</t>
  </si>
  <si>
    <t>% Change</t>
  </si>
  <si>
    <t>Unpaid Losses</t>
  </si>
  <si>
    <t>Summary Consolidated Balance Sheets</t>
  </si>
  <si>
    <t>Computation of Basic and Diluted Earnings Per Share</t>
  </si>
  <si>
    <t>(Unaudited)</t>
  </si>
  <si>
    <t>ACE Limited Consolidated</t>
  </si>
  <si>
    <t>Operating cash flow</t>
  </si>
  <si>
    <t xml:space="preserve">Net realized gains (losses) </t>
  </si>
  <si>
    <t xml:space="preserve">Loss and loss expense ratio </t>
  </si>
  <si>
    <t xml:space="preserve">Policy acquisition cost ratio </t>
  </si>
  <si>
    <t xml:space="preserve">Administrative expense ratio </t>
  </si>
  <si>
    <t xml:space="preserve">Net Realized </t>
  </si>
  <si>
    <t xml:space="preserve">Net Unrealized </t>
  </si>
  <si>
    <t>Impact</t>
  </si>
  <si>
    <t xml:space="preserve">    Total assets</t>
  </si>
  <si>
    <t>Gross reinsurance recoverable</t>
  </si>
  <si>
    <t>Underwriting and administrative expense ratio</t>
  </si>
  <si>
    <t>Equity and fixed income derivatives</t>
  </si>
  <si>
    <t xml:space="preserve">  Total</t>
  </si>
  <si>
    <t>Perpetual preferred dividend</t>
  </si>
  <si>
    <t>Net realized gains (losses), net of income tax</t>
  </si>
  <si>
    <t>Issued under employee stock purchase plan</t>
  </si>
  <si>
    <t>Insurance - North American</t>
  </si>
  <si>
    <t>- Loss Reserve Rollforward</t>
  </si>
  <si>
    <t>- Reinsurance Recoverable Analysis</t>
  </si>
  <si>
    <t>- Glossary</t>
  </si>
  <si>
    <t>Issued for option exercises</t>
  </si>
  <si>
    <t>Weighted average shares outstanding</t>
  </si>
  <si>
    <t>Effect of other dilutive securities</t>
  </si>
  <si>
    <t>Loss Reserve Rollforward</t>
  </si>
  <si>
    <t>Reinsurance Recoverable Analysis</t>
  </si>
  <si>
    <t>Reconciliation to Loss Reserve Rollforward</t>
  </si>
  <si>
    <t>- Comprehensive Income</t>
  </si>
  <si>
    <t>Investment Portfolio</t>
  </si>
  <si>
    <t>Foreign exchange gains (losses)</t>
  </si>
  <si>
    <t>NM</t>
  </si>
  <si>
    <t>Total gains (losses)</t>
  </si>
  <si>
    <t>Debt/ tangible equity</t>
  </si>
  <si>
    <t>Debt/ total capitalization</t>
  </si>
  <si>
    <t>Net realized gains (losses)</t>
  </si>
  <si>
    <t>Other investments</t>
  </si>
  <si>
    <t xml:space="preserve"> </t>
  </si>
  <si>
    <t>Glossary</t>
  </si>
  <si>
    <t>Avg. market yield of fixed maturities</t>
  </si>
  <si>
    <t>Avg. credit quality</t>
  </si>
  <si>
    <t>P&amp;C</t>
  </si>
  <si>
    <t>(in millions of U.S. dollars, except share and per share data)</t>
  </si>
  <si>
    <t xml:space="preserve">   Net income</t>
  </si>
  <si>
    <t>December 31</t>
  </si>
  <si>
    <t>March 31</t>
  </si>
  <si>
    <t>Numerator</t>
  </si>
  <si>
    <t>Denominator</t>
  </si>
  <si>
    <t xml:space="preserve">% of </t>
  </si>
  <si>
    <t>Other Disclosures</t>
  </si>
  <si>
    <t xml:space="preserve">Fax: (441) 292-8675   </t>
  </si>
  <si>
    <t xml:space="preserve">Phone: (441) 299-9283             </t>
  </si>
  <si>
    <t>email:  investorrelations@ace.bm</t>
  </si>
  <si>
    <t>- Consolidating Statement of Operations</t>
  </si>
  <si>
    <t>Ordinary shareholders' equity</t>
  </si>
  <si>
    <t>Deposit liabilities</t>
  </si>
  <si>
    <t>Consolidated Premiums by Line of Business</t>
  </si>
  <si>
    <t>Book value per ordinary share</t>
  </si>
  <si>
    <t>Consolidated Financial Highlights</t>
  </si>
  <si>
    <t>Consolidated Results - Consecutive Quarters</t>
  </si>
  <si>
    <t>Global Reinsurance - By Division</t>
  </si>
  <si>
    <t>Market Value</t>
  </si>
  <si>
    <t xml:space="preserve">   Subtotal</t>
  </si>
  <si>
    <t>Total P&amp;C</t>
  </si>
  <si>
    <t>Total Consolidated</t>
  </si>
  <si>
    <t>Consolidated Statement of Comprehensive Income</t>
  </si>
  <si>
    <t>Net unrealized appreciation (depreciation) on investments</t>
  </si>
  <si>
    <t>Investor Contact</t>
  </si>
  <si>
    <t>Large losses and other items</t>
  </si>
  <si>
    <t>Casualty</t>
  </si>
  <si>
    <t xml:space="preserve">  Reclassification adjustment for net realized gains (losses)</t>
  </si>
  <si>
    <t xml:space="preserve">Gains  </t>
  </si>
  <si>
    <r>
      <t xml:space="preserve">(Losses) </t>
    </r>
    <r>
      <rPr>
        <b/>
        <sz val="6"/>
        <rFont val="News Gothic"/>
        <family val="2"/>
      </rPr>
      <t>(1)</t>
    </r>
  </si>
  <si>
    <t>(Losses)</t>
  </si>
  <si>
    <t xml:space="preserve">   Total inv. portfolio gains (losses)</t>
  </si>
  <si>
    <t xml:space="preserve">   Total gains (losses)</t>
  </si>
  <si>
    <t xml:space="preserve">   Net gains (losses)</t>
  </si>
  <si>
    <r>
      <t xml:space="preserve">(Losses) </t>
    </r>
    <r>
      <rPr>
        <b/>
        <sz val="6"/>
        <rFont val="News Gothic"/>
        <family val="2"/>
      </rPr>
      <t>(2)</t>
    </r>
  </si>
  <si>
    <t>Comprehensive Income</t>
  </si>
  <si>
    <t>Segment Results - Consecutive Quarters - 2</t>
  </si>
  <si>
    <t>Cost/Amortized Cost</t>
  </si>
  <si>
    <t>(in millions of U.S. dollars, except per share data)</t>
  </si>
  <si>
    <t xml:space="preserve">    Total investments </t>
  </si>
  <si>
    <t>Other (income) expense</t>
  </si>
  <si>
    <t>Tax expense (benefit) on net realized gains (losses)</t>
  </si>
  <si>
    <r>
      <t>Total long-term debt</t>
    </r>
    <r>
      <rPr>
        <vertAlign val="superscript"/>
        <sz val="8"/>
        <rFont val="News Gothic"/>
        <family val="0"/>
      </rPr>
      <t xml:space="preserve"> </t>
    </r>
  </si>
  <si>
    <r>
      <t xml:space="preserve">   Income (loss) excluding net realized gains (losses) </t>
    </r>
    <r>
      <rPr>
        <vertAlign val="superscript"/>
        <sz val="8"/>
        <rFont val="News Gothic"/>
        <family val="2"/>
      </rPr>
      <t>(1)</t>
    </r>
  </si>
  <si>
    <r>
      <t xml:space="preserve">   Income excluding net realized gains (losses) </t>
    </r>
    <r>
      <rPr>
        <vertAlign val="superscript"/>
        <sz val="8"/>
        <rFont val="News Gothic"/>
        <family val="2"/>
      </rPr>
      <t>(1)</t>
    </r>
  </si>
  <si>
    <t>Annualized ROE, excluding FAS 115*</t>
  </si>
  <si>
    <t>Active operations</t>
  </si>
  <si>
    <t>Brandywine</t>
  </si>
  <si>
    <t>Net income</t>
  </si>
  <si>
    <t>AOCI</t>
  </si>
  <si>
    <t>YTD</t>
  </si>
  <si>
    <t>QTR</t>
  </si>
  <si>
    <t>(in millions of U.S. dollars, except share, per share data and ratios)</t>
  </si>
  <si>
    <t xml:space="preserve">Brandywine </t>
  </si>
  <si>
    <t>2005</t>
  </si>
  <si>
    <t xml:space="preserve">Active operations </t>
  </si>
  <si>
    <r>
      <t xml:space="preserve">Tangible shareholders' equity </t>
    </r>
    <r>
      <rPr>
        <vertAlign val="superscript"/>
        <sz val="8"/>
        <rFont val="News Gothic"/>
        <family val="2"/>
      </rPr>
      <t>(1)</t>
    </r>
  </si>
  <si>
    <t>(1)  Tangible equity is equal to shareholders' equity less goodwill.</t>
  </si>
  <si>
    <t>Investments in partially owned insurance companies</t>
  </si>
  <si>
    <t>Securities lending payable</t>
  </si>
  <si>
    <t>Fixed maturities held to maturity, at amortized cost</t>
  </si>
  <si>
    <r>
      <t xml:space="preserve">Total capitalization:  </t>
    </r>
    <r>
      <rPr>
        <sz val="8"/>
        <rFont val="News Gothic"/>
        <family val="0"/>
      </rPr>
      <t>S</t>
    </r>
    <r>
      <rPr>
        <sz val="8"/>
        <rFont val="News Gothic"/>
        <family val="2"/>
      </rPr>
      <t>hort-term debt, long-term debt, trust preferreds, perpetual preferred shares and shareholders' equity.</t>
    </r>
  </si>
  <si>
    <t>Reinsurance Recoverable for Active Operations</t>
  </si>
  <si>
    <t>Categories</t>
  </si>
  <si>
    <t>Recoverable</t>
  </si>
  <si>
    <t>% of Gross</t>
  </si>
  <si>
    <t>Top 10 reinsurers</t>
  </si>
  <si>
    <t>Other reinsurers balances &gt;$20 million</t>
  </si>
  <si>
    <t>Other reinsurers balances &lt;$20 million</t>
  </si>
  <si>
    <t>Mandatory pools and government agencies</t>
  </si>
  <si>
    <t>Structured settlements</t>
  </si>
  <si>
    <t>Captives</t>
  </si>
  <si>
    <r>
      <t>Other</t>
    </r>
    <r>
      <rPr>
        <vertAlign val="superscript"/>
        <sz val="8"/>
        <rFont val="News Gothic"/>
        <family val="2"/>
      </rPr>
      <t>(1)</t>
    </r>
  </si>
  <si>
    <r>
      <t xml:space="preserve">Top 10 Reinsurers (net of collateral) </t>
    </r>
    <r>
      <rPr>
        <b/>
        <u val="single"/>
        <vertAlign val="superscript"/>
        <sz val="8"/>
        <rFont val="News Gothic"/>
        <family val="0"/>
      </rPr>
      <t>(2)</t>
    </r>
  </si>
  <si>
    <r>
      <t xml:space="preserve">Other Reinsurers Balances Greater Than $20 million (net of collateral) </t>
    </r>
    <r>
      <rPr>
        <b/>
        <u val="single"/>
        <vertAlign val="superscript"/>
        <sz val="8"/>
        <rFont val="News Gothic"/>
        <family val="0"/>
      </rPr>
      <t>(2)</t>
    </r>
  </si>
  <si>
    <t>Detail on Reinsurance Recoverable on Paid Losses and Loss Expenses</t>
  </si>
  <si>
    <r>
      <t xml:space="preserve">General Collections </t>
    </r>
    <r>
      <rPr>
        <b/>
        <vertAlign val="superscript"/>
        <sz val="8"/>
        <rFont val="News Gothic"/>
        <family val="2"/>
      </rPr>
      <t>(1)</t>
    </r>
  </si>
  <si>
    <r>
      <t>Other</t>
    </r>
    <r>
      <rPr>
        <b/>
        <vertAlign val="superscript"/>
        <sz val="8"/>
        <rFont val="News Gothic"/>
        <family val="2"/>
      </rPr>
      <t xml:space="preserve"> (2)</t>
    </r>
  </si>
  <si>
    <t>% of gross</t>
  </si>
  <si>
    <t>Consolidated Reinsurance Recoverable</t>
  </si>
  <si>
    <t>Fixed maturities available for sale</t>
  </si>
  <si>
    <t>Fixed maturities held to maturity</t>
  </si>
  <si>
    <t>Avg. duration of fixed maturities, adjusted for int. rate swaps</t>
  </si>
  <si>
    <t>Partially owned insurance companies - MARKET</t>
  </si>
  <si>
    <t>Partially owned insurance companies - Cost</t>
  </si>
  <si>
    <t>Held to maturity</t>
  </si>
  <si>
    <t>Total other at cost</t>
  </si>
  <si>
    <t>The Company's forward-looking statements could also be affected by competition, pricing and policy term trends, the levels of new and renewal business achieved, market acceptance, changes in demand, actual market developments, rating agency action, possible terrorism or the outbreak and effects of war.  Readers are cautioned not to place undue reliance on these forward-looking statements, which speak only as of the dates on which they are made.  The Company undertakes no obligation to publicly update or revise any forward-looking statements, whether as a result of new information, future events or otherwise.</t>
  </si>
  <si>
    <t xml:space="preserve">Weighted average basic ordinary shares outstanding </t>
  </si>
  <si>
    <t>Life underwriting income excluding investment income</t>
  </si>
  <si>
    <t>Catastrophe and other large losses (before tax)</t>
  </si>
  <si>
    <t>Property and Casualty net premiums written</t>
  </si>
  <si>
    <t xml:space="preserve">Property and Casualty net premiums earned </t>
  </si>
  <si>
    <t>Balance at December 31, 2005</t>
  </si>
  <si>
    <t>Diluted earnings per share</t>
  </si>
  <si>
    <t xml:space="preserve">   Other (incl. foreign exch. revaluation)</t>
  </si>
  <si>
    <t>Tangible book value per ordinary share</t>
  </si>
  <si>
    <t>Book Value per Ordinary Share</t>
  </si>
  <si>
    <t>Reconciliation of Book Value per Ordinary Share</t>
  </si>
  <si>
    <t>Numerator for book value per share calculation</t>
  </si>
  <si>
    <t xml:space="preserve">Numerator for tangible book value per share </t>
  </si>
  <si>
    <r>
      <t xml:space="preserve">Book value per ordinary share </t>
    </r>
    <r>
      <rPr>
        <b/>
        <vertAlign val="superscript"/>
        <sz val="8"/>
        <rFont val="News Gothic"/>
        <family val="2"/>
      </rPr>
      <t>(1)</t>
    </r>
  </si>
  <si>
    <r>
      <t xml:space="preserve">Tangible book value per ordinary share </t>
    </r>
    <r>
      <rPr>
        <b/>
        <vertAlign val="superscript"/>
        <sz val="8"/>
        <rFont val="News Gothic"/>
        <family val="2"/>
      </rPr>
      <t>(1)</t>
    </r>
  </si>
  <si>
    <r>
      <t xml:space="preserve">Tangible book value per ordinary share:  </t>
    </r>
    <r>
      <rPr>
        <sz val="8"/>
        <rFont val="News Gothic"/>
        <family val="0"/>
      </rPr>
      <t>O</t>
    </r>
    <r>
      <rPr>
        <sz val="8"/>
        <rFont val="News Gothic"/>
        <family val="2"/>
      </rPr>
      <t>rdinary shareholders' equity less goodwill divided by the shares outstanding.</t>
    </r>
  </si>
  <si>
    <r>
      <t>Book value per ordinary share:</t>
    </r>
    <r>
      <rPr>
        <sz val="8"/>
        <rFont val="News Gothic"/>
        <family val="0"/>
      </rPr>
      <t xml:space="preserve"> Ordinar</t>
    </r>
    <r>
      <rPr>
        <sz val="8"/>
        <rFont val="News Gothic"/>
        <family val="2"/>
      </rPr>
      <t>y shareholders' equity divided by the shares outstanding.</t>
    </r>
  </si>
  <si>
    <t>Life Insurance and Reinsurance</t>
  </si>
  <si>
    <t>Prior period development - unfavorable (favorable)</t>
  </si>
  <si>
    <t>- Book Value per Ordinary Share</t>
  </si>
  <si>
    <t>Income tax expense (benefit) on net realized gains (losses)</t>
  </si>
  <si>
    <t>(2) Excludes recoverable amounts from companies who are in supervision, rehabilitation or liquidation, or are captive reinsurers, mandatory pools or voluntary pools.</t>
  </si>
  <si>
    <t xml:space="preserve">Denominator </t>
  </si>
  <si>
    <r>
      <t xml:space="preserve">Combined ratio </t>
    </r>
    <r>
      <rPr>
        <b/>
        <vertAlign val="superscript"/>
        <sz val="8"/>
        <rFont val="News Gothic"/>
        <family val="2"/>
      </rPr>
      <t>(1)</t>
    </r>
  </si>
  <si>
    <r>
      <t xml:space="preserve">Large losses and other items </t>
    </r>
    <r>
      <rPr>
        <b/>
        <vertAlign val="superscript"/>
        <sz val="8"/>
        <rFont val="News Gothic"/>
        <family val="2"/>
      </rPr>
      <t>(1)</t>
    </r>
  </si>
  <si>
    <t>- Life Insurance and Reinsurance</t>
  </si>
  <si>
    <t>Balance at March 31, 2006</t>
  </si>
  <si>
    <t>2006</t>
  </si>
  <si>
    <t>(Audited)</t>
  </si>
  <si>
    <t>Payable for securities purchased</t>
  </si>
  <si>
    <t>Short-term investments, at fair value</t>
  </si>
  <si>
    <r>
      <t>% Change versus prior year period</t>
    </r>
    <r>
      <rPr>
        <b/>
        <vertAlign val="superscript"/>
        <sz val="8"/>
        <rFont val="News Gothic"/>
        <family val="2"/>
      </rPr>
      <t>(1)</t>
    </r>
  </si>
  <si>
    <t>Reinsurance Recoverable Analysis - 3</t>
  </si>
  <si>
    <t>Reinsurance Recoverable Analysis - 2</t>
  </si>
  <si>
    <t>Reinsurance Recoverable Analysis - 4</t>
  </si>
  <si>
    <t xml:space="preserve">   Net income available to the holders of ordinary shares</t>
  </si>
  <si>
    <r>
      <t xml:space="preserve">Income excluding net realized gains (losses) and cumulative effect </t>
    </r>
    <r>
      <rPr>
        <vertAlign val="superscript"/>
        <sz val="8"/>
        <rFont val="News Gothic"/>
        <family val="2"/>
      </rPr>
      <t>(1)</t>
    </r>
  </si>
  <si>
    <t>Other investments - unrealized booked to income</t>
  </si>
  <si>
    <t>Comp Income</t>
  </si>
  <si>
    <t>Unrealized g/l</t>
  </si>
  <si>
    <t>Reinsurance recoverable on paid losses and loss expenses</t>
  </si>
  <si>
    <t>Reinsurance recoverable on future policy benefits</t>
  </si>
  <si>
    <t xml:space="preserve">   Net income available to the holders of ordinary shares excluding cumulative effect</t>
  </si>
  <si>
    <t>Cumulative effect of a change in accounting principle, net of tax</t>
  </si>
  <si>
    <r>
      <t>Income excluding net realized gains (losses) and cumulative effect</t>
    </r>
    <r>
      <rPr>
        <vertAlign val="superscript"/>
        <sz val="8"/>
        <rFont val="News Gothic"/>
        <family val="2"/>
      </rPr>
      <t>(1)</t>
    </r>
  </si>
  <si>
    <t>Cumulative effect of a change in  accounting principle, net of tax</t>
  </si>
  <si>
    <t xml:space="preserve">   Income to ordinary shares, excl. net realized gains (losses) and cumulative effect</t>
  </si>
  <si>
    <t>This report is for informational purposes only.  It should be read in conjunction with documents filed by ACE Limited with the Securities and Exchange Commission, including the most recent Annual Report on Form 10-K and Quarterly Reports on Form 10-Q.</t>
  </si>
  <si>
    <t>Life Insurance</t>
  </si>
  <si>
    <t>&amp; Reinsurance</t>
  </si>
  <si>
    <t>Provision for uncollectible reinsurance</t>
  </si>
  <si>
    <t>Provision for uncollectible reinsurance on paid losses and loss expenses</t>
  </si>
  <si>
    <t>Provision</t>
  </si>
  <si>
    <t>* Calculated using income excluding net realized gains (losses) and cumulative effect of a change in accounting principle (cumulative effect)</t>
  </si>
  <si>
    <t>Reinsurance recoverable on unpaid losses and loss expenses</t>
  </si>
  <si>
    <t>Westchester Run-off</t>
  </si>
  <si>
    <t>Other Run-off</t>
  </si>
  <si>
    <t>Balance at June 30, 2006</t>
  </si>
  <si>
    <t>2Q-06</t>
  </si>
  <si>
    <t xml:space="preserve">Any forward-looking statements made in this financial supplement reflect the Company’s current views with respect to future events and financial performance and are made pursuant to the safe harbor provisions of the Private Securities Litigation Reform Act of 1995.  Such statements involve risks and uncertainties which may cause actual results to differ materially from those set forth in these statements.  For example, the Company’s forward-looking statements, such as statements concerning exposures, reserves and recoverables, could be affected by the frequency of unpredictable catastrophic events, actual loss experience, uncertainties in the reserving or settlement process, new theories of liability, judicial, legislative, regulatory and other governmental developments, litigation tactics and developments, investigation developments and actual settlement terms, the amount and timing of reinsurance receivable and credit developments among reinsurers.  </t>
  </si>
  <si>
    <t>3Q-06</t>
  </si>
  <si>
    <t>Balance at September 30, 2006</t>
  </si>
  <si>
    <t>September 30</t>
  </si>
  <si>
    <t>Income taxes payable</t>
  </si>
  <si>
    <t>Financial Supplement</t>
  </si>
  <si>
    <t/>
  </si>
  <si>
    <t>Manual input</t>
  </si>
  <si>
    <t>4Q-06</t>
  </si>
  <si>
    <t>Balance at December 31, 2006</t>
  </si>
  <si>
    <t>Gross balance at December 31, 2006</t>
  </si>
  <si>
    <t>Provision at 12/31/06</t>
  </si>
  <si>
    <r>
      <t xml:space="preserve">P&amp;C: </t>
    </r>
    <r>
      <rPr>
        <sz val="8"/>
        <rFont val="News Gothic"/>
        <family val="2"/>
      </rPr>
      <t>Property and casualty.</t>
    </r>
  </si>
  <si>
    <t xml:space="preserve">  Net income</t>
  </si>
  <si>
    <r>
      <t xml:space="preserve">  Income excluding net realized gains (losses) and cumulative effect </t>
    </r>
    <r>
      <rPr>
        <vertAlign val="superscript"/>
        <sz val="8"/>
        <rFont val="News Gothic"/>
        <family val="2"/>
      </rPr>
      <t>(2)</t>
    </r>
  </si>
  <si>
    <t>Net income, as reported</t>
  </si>
  <si>
    <t>Income excluding net realized gains (losses) and cumulative effect</t>
  </si>
  <si>
    <t>3.3 years</t>
  </si>
  <si>
    <t>Property and Casualty</t>
  </si>
  <si>
    <r>
      <t xml:space="preserve">(2) </t>
    </r>
    <r>
      <rPr>
        <sz val="7"/>
        <rFont val="News Gothic"/>
        <family val="0"/>
      </rPr>
      <t>Excludes recoverable amounts from companies who are in supervision, rehabilitation or liquidation, or are captive reinsurers, mandatory pools or voluntary pools.</t>
    </r>
  </si>
  <si>
    <t xml:space="preserve">(1) General collections balances represent amounts in process of collection in the normal course of business, for which we have no indication of dispute or credit issues. </t>
  </si>
  <si>
    <t>(3) The current quarter split between general collections and other is estimated based on prior quarter balances.  Balances are adjusted to actual in the next quarter.</t>
  </si>
  <si>
    <t>1Q-07</t>
  </si>
  <si>
    <t>Balance at March 31, 2007</t>
  </si>
  <si>
    <t>Gross balance at March 31, 2007</t>
  </si>
  <si>
    <t>Provision at 3/31/07</t>
  </si>
  <si>
    <r>
      <t>Net balance at December 31, 2006</t>
    </r>
    <r>
      <rPr>
        <b/>
        <vertAlign val="superscript"/>
        <sz val="8"/>
        <rFont val="News Gothic"/>
        <family val="2"/>
      </rPr>
      <t xml:space="preserve"> </t>
    </r>
  </si>
  <si>
    <t>Non-U.S.</t>
  </si>
  <si>
    <t>2007</t>
  </si>
  <si>
    <t xml:space="preserve">In presenting our segment operating results, we have shown our performance with reference to underwriting results.  Underwriting results are calculated by subtracting losses and loss expenses, life and annuity benefits, policy acquisition costs, and administrative expenses from net premiums earned.  We use underwriting results and operating ratios to monitor the results of our operations without the impact of certain factors, including investment income, other income and expenses, interest and income tax expense, and net realized gains (losses).  </t>
  </si>
  <si>
    <t xml:space="preserve">Cumulative effect of a change in accounting </t>
  </si>
  <si>
    <t xml:space="preserve">   principle, net of tax</t>
  </si>
  <si>
    <t>Cumulative effect of a change in accounting</t>
  </si>
  <si>
    <t>Effective tax rate on income excluding net realized gains (losses)</t>
  </si>
  <si>
    <t xml:space="preserve">   and cumulative effect</t>
  </si>
  <si>
    <t>Effective tax rate on income excluding net realized gains (losses) and</t>
  </si>
  <si>
    <t xml:space="preserve">   cumulative effect</t>
  </si>
  <si>
    <r>
      <t xml:space="preserve">   Other (Sale of certain run-off subsidiaries) </t>
    </r>
    <r>
      <rPr>
        <vertAlign val="superscript"/>
        <sz val="8"/>
        <rFont val="News Gothic"/>
        <family val="2"/>
      </rPr>
      <t>(2)</t>
    </r>
  </si>
  <si>
    <t xml:space="preserve">(1)  The run-off reserves primarily include the Brandywine group, the Commercial Insurance Service - Middle Market Workers' Comp. reserves and the pre-1997 Westchester Specialty reserves.  </t>
  </si>
  <si>
    <t>Total trust preferred securities</t>
  </si>
  <si>
    <t>Debt plus trust preferred securities/ tangible equity</t>
  </si>
  <si>
    <t>Debt plus trust preferred secutities/ total capitalization</t>
  </si>
  <si>
    <t>Shares (cancelled) granted</t>
  </si>
  <si>
    <t xml:space="preserve">   Ordinary Shares - end of period</t>
  </si>
  <si>
    <t>Rollforward of Ordinary Shares</t>
  </si>
  <si>
    <t>Ordinary Shares - beginning of period</t>
  </si>
  <si>
    <t>Perpetual preferred shares</t>
  </si>
  <si>
    <t>Proceeds from issuance of perpetual preferred shares</t>
  </si>
  <si>
    <t>ACE Tempest Re Europe</t>
  </si>
  <si>
    <t>ACE Tempest Re USA</t>
  </si>
  <si>
    <t>ACE Tempest Re Bermuda</t>
  </si>
  <si>
    <t>ACE Tempest Re Canada</t>
  </si>
  <si>
    <t>Hybrid financial instruments</t>
  </si>
  <si>
    <t xml:space="preserve">  P&amp;C underwriting income </t>
  </si>
  <si>
    <t xml:space="preserve">(1) Property and casualty excluding Life is presented to allow for comparison and analysis with earnings guidance. This is a non-GAAP measure. </t>
  </si>
  <si>
    <t xml:space="preserve">The following non-GAAP measure is a common performance measurement and is defined as income excluding net realized gains (losses), the tax expense (benefit) on net realized gains (losses), and cumulative effect of a change in accounting principle, net of tax.  We believe this presentation enhances the understanding of our results of operations by highlighting the underlying profitability of our insurance business.  We exclude net realized gains (losses) because the amount of these gains (losses) is heavily influenced by, and fluctuates in part according to, the availability of market opportunities.  We exclude the benefit of the cumulative effect of a change in accounting principle, net of tax, because this benefit resulted in a one time adjustment to income.  We believe these amounts are largely independent of our business and including them would distort the analysis of trends.  Income excluding net realized gains (losses) and cumulative effect should not be viewed as a substitute for net income determined in accordance with generally accepted accounting principles (GAAP). </t>
  </si>
  <si>
    <t>(2) During the third quarter of 2006, ACE Limited completed the sale of three run-off reinsurance subsidiaries, ACE American Reinsurance Company, Brandywine Reinsurance Co. (UK) Ltd. and Brandywine Reinsurance Company S.A.-N.V. to Randall &amp; Quilter Investment Holdings Limited.</t>
  </si>
  <si>
    <t xml:space="preserve">   Sub-total</t>
  </si>
  <si>
    <r>
      <t xml:space="preserve">Annualized return on ordinary shareholders' equity (ROE): </t>
    </r>
    <r>
      <rPr>
        <sz val="8"/>
        <rFont val="News Gothic"/>
        <family val="2"/>
      </rPr>
      <t xml:space="preserve"> Income excluding net realized gains (losses) and cumulative effect less perpetual preferred securities divided by average ordinary shareholders' equity for the period.  To annualize a quarterly rate multiply by four.</t>
    </r>
  </si>
  <si>
    <r>
      <t xml:space="preserve">Effective tax rate:  </t>
    </r>
    <r>
      <rPr>
        <sz val="8"/>
        <rFont val="News Gothic"/>
        <family val="0"/>
      </rPr>
      <t>I</t>
    </r>
    <r>
      <rPr>
        <sz val="8"/>
        <rFont val="News Gothic"/>
        <family val="2"/>
      </rPr>
      <t>ncome tax expense divided by the sum of income tax expense and income excluding net realized gains (losses) and cumulative effect.</t>
    </r>
  </si>
  <si>
    <r>
      <t xml:space="preserve">Combined ratio:   </t>
    </r>
    <r>
      <rPr>
        <sz val="8"/>
        <rFont val="News Gothic"/>
        <family val="0"/>
      </rPr>
      <t>T</t>
    </r>
    <r>
      <rPr>
        <sz val="8"/>
        <rFont val="News Gothic"/>
        <family val="2"/>
      </rPr>
      <t>he sum of the loss and loss expense ratio, acquisition cost ratio and the administrative expense ratio excluding life business.  Calculated on a GAAP basis.</t>
    </r>
  </si>
  <si>
    <t>Change in cumulative translation adjustments</t>
  </si>
  <si>
    <t>Change in minimum pension liability</t>
  </si>
  <si>
    <r>
      <t>Cumulative effect:</t>
    </r>
    <r>
      <rPr>
        <sz val="8"/>
        <rFont val="News Gothic"/>
        <family val="2"/>
      </rPr>
      <t xml:space="preserve">  The benefit resulting from the accrual of a forfeiture rate on the restricted stock under Financial Accounting Standard 123R “Share-Based Payment”.</t>
    </r>
  </si>
  <si>
    <t>June 30, 2007</t>
  </si>
  <si>
    <t>Personal accident (A&amp;H)</t>
  </si>
  <si>
    <t>Six months ended June 30, 2007 and 2006</t>
  </si>
  <si>
    <t>Three months ended June 30, 2007 and 2006</t>
  </si>
  <si>
    <t>9-10</t>
  </si>
  <si>
    <t>13-16</t>
  </si>
  <si>
    <t>Three months ended June 30</t>
  </si>
  <si>
    <t>2Q-07 vs.</t>
  </si>
  <si>
    <t>Six months ended June 30</t>
  </si>
  <si>
    <t>YTD-07 vs.</t>
  </si>
  <si>
    <t>YTD-06</t>
  </si>
  <si>
    <t>2Q-07</t>
  </si>
  <si>
    <t>Balance at June 30, 2007</t>
  </si>
  <si>
    <t>June 30</t>
  </si>
  <si>
    <t>Gross balance at June 30, 2007</t>
  </si>
  <si>
    <r>
      <t>Net balance at June 30, 2007</t>
    </r>
    <r>
      <rPr>
        <b/>
        <vertAlign val="superscript"/>
        <sz val="8"/>
        <rFont val="News Gothic"/>
        <family val="2"/>
      </rPr>
      <t>(3)</t>
    </r>
  </si>
  <si>
    <t>Provision at 6/30/07</t>
  </si>
  <si>
    <t>Six months ended June 30, 2006</t>
  </si>
  <si>
    <t>Six months ended June 30, 2007</t>
  </si>
  <si>
    <t xml:space="preserve">(2) The quarter includes impairments of $56M for fixed maturities, $4M for equities and $1M for other investments.  Year to date includes impairments of $80M for fixed maturities, $6M for equities and $6M for other investments.   </t>
  </si>
  <si>
    <t>Three months ended June 30, 2006</t>
  </si>
  <si>
    <t xml:space="preserve">YTD-06 </t>
  </si>
  <si>
    <t>Three months ended June 30, 2007</t>
  </si>
  <si>
    <t xml:space="preserve">In presenting our results, we have included and discussed certain non-GAAP measures.  These non-GAAP measures, which may be defined differently by other companies, are important for an understanding of our overall results of operations. However, they should not be viewed as a substitute for measures determined in accordance with GAAP.  A reconciliation of book value per share is provided on page 22.  </t>
  </si>
  <si>
    <t>5-6</t>
  </si>
  <si>
    <t>(1) See page 21 Non-GAAP Financial Measures.</t>
  </si>
  <si>
    <t>(2) See page 21 Non-GAAP Financial Measures.</t>
  </si>
  <si>
    <r>
      <t xml:space="preserve">YTD:  </t>
    </r>
    <r>
      <rPr>
        <sz val="8"/>
        <rFont val="News Gothic"/>
        <family val="2"/>
      </rPr>
      <t>Year to date.</t>
    </r>
  </si>
  <si>
    <t xml:space="preserve">(1) The quarter includes impairments of $13M for fixed maturities, $1M for equities and $2M for other investments.  Year to date includes impairments of $50M for fixed maturities, $2M for equities and $2M for other investments.   </t>
  </si>
  <si>
    <t xml:space="preserve">At March 31, 2007, $7.5 billion of the active operations' recoverables were from rated reinsurers, of which 96.3% were rated the equivalent of A- or better by internationally recognized rating agencies.  The Company held collateral of $3.1 billion, of which $2.0 billion was matched and usable against existing recoverables. </t>
  </si>
  <si>
    <t>American International Group (AIG)</t>
  </si>
  <si>
    <t>AGRI General Ins Co</t>
  </si>
  <si>
    <t>IRB - Brasil Resseguros S.A. Group</t>
  </si>
  <si>
    <t>AIOI Insurance Group</t>
  </si>
  <si>
    <t>Liberty Mutual Insurance Companies</t>
  </si>
  <si>
    <t>Berkshire Hathaway Insurance Group</t>
  </si>
  <si>
    <t>Allianz</t>
  </si>
  <si>
    <t>Montpelier Reinsurance Ltd</t>
  </si>
  <si>
    <t>Chubb Insurance Group</t>
  </si>
  <si>
    <t>Allied World Assurance Group</t>
  </si>
  <si>
    <t>Partner Re</t>
  </si>
  <si>
    <t>HDI Haftpflichtverband Der Deutschen Industrie Vag (Hannover)</t>
  </si>
  <si>
    <t>Arch Capital</t>
  </si>
  <si>
    <t>Platinum Underwriters</t>
  </si>
  <si>
    <t>Lloyd's Of London</t>
  </si>
  <si>
    <t>AXA</t>
  </si>
  <si>
    <t>PMA Capital Corp.</t>
  </si>
  <si>
    <t>Munich Re Group</t>
  </si>
  <si>
    <t>CIGNA</t>
  </si>
  <si>
    <t>Renaissance Re Holdings Ltd</t>
  </si>
  <si>
    <t>Swiss Re Group</t>
  </si>
  <si>
    <t>Converium Group</t>
  </si>
  <si>
    <t>Royal &amp; Sun Alliance Insurance Group</t>
  </si>
  <si>
    <t>WR Berkley Corp</t>
  </si>
  <si>
    <t>Dow Chemical Co</t>
  </si>
  <si>
    <t>SCOR Group</t>
  </si>
  <si>
    <t>XL Capital Group</t>
  </si>
  <si>
    <t>Electric Insurance Company</t>
  </si>
  <si>
    <t>Sompo Japan Group</t>
  </si>
  <si>
    <t>Endurance Specialty Holdings Ltd</t>
  </si>
  <si>
    <t>Tawa UK Ltd</t>
  </si>
  <si>
    <t>Everest Re Group</t>
  </si>
  <si>
    <t>Toa Reinsurance Company</t>
  </si>
  <si>
    <t>Federal Crop Insurance Corp</t>
  </si>
  <si>
    <t>Travelers Companies Inc.</t>
  </si>
  <si>
    <t>ING Groep NV</t>
  </si>
  <si>
    <t>White Mountains Insurance Group</t>
  </si>
  <si>
    <t>Zurich Financial Services Group</t>
  </si>
  <si>
    <t>At March 31, 2007, $11.3  billion of ACE Limited recoverables were from rated reinsurers, of which 95.2% were rated the equivalent of A- or better by internationally recognized rating agencies.</t>
  </si>
  <si>
    <t>PMA Capital Corp</t>
  </si>
  <si>
    <t>Enstar Group Ltd</t>
  </si>
  <si>
    <t>Equitas</t>
  </si>
  <si>
    <t>Fairfax Financial</t>
  </si>
  <si>
    <t>Allstate Group</t>
  </si>
  <si>
    <t>FM Global Group</t>
  </si>
  <si>
    <t>Aspen Insurance Holdings Ltd</t>
  </si>
  <si>
    <t>GLOBALE Rueckversicherung AG</t>
  </si>
  <si>
    <t>AVIVA</t>
  </si>
  <si>
    <t>Hartford Insurance Group</t>
  </si>
  <si>
    <t>Travelers Companies, Inc.</t>
  </si>
  <si>
    <t>Trenwick Group</t>
  </si>
  <si>
    <t>CNA Insurance Companies</t>
  </si>
  <si>
    <t>Dominion Insurance Co Ltd</t>
  </si>
  <si>
    <t>Millea Holdings</t>
  </si>
  <si>
    <t>Dukes Place Holdings</t>
  </si>
  <si>
    <t>IPC Re Ltd</t>
  </si>
  <si>
    <t>Change in accounting</t>
  </si>
  <si>
    <t>3.7 years</t>
  </si>
  <si>
    <t>- Insurance - North American</t>
  </si>
  <si>
    <t>- Insurance - Overseas General</t>
  </si>
  <si>
    <r>
      <t>Gross premiums written</t>
    </r>
    <r>
      <rPr>
        <vertAlign val="superscript"/>
        <sz val="8"/>
        <rFont val="News Gothic"/>
        <family val="2"/>
      </rPr>
      <t xml:space="preserve"> (1)</t>
    </r>
  </si>
  <si>
    <r>
      <t xml:space="preserve">   Life underwriting income </t>
    </r>
    <r>
      <rPr>
        <vertAlign val="superscript"/>
        <sz val="8"/>
        <rFont val="News Gothic"/>
        <family val="2"/>
      </rPr>
      <t>(2)</t>
    </r>
  </si>
  <si>
    <r>
      <t xml:space="preserve">   Income excluding net realized gains (losses) </t>
    </r>
    <r>
      <rPr>
        <vertAlign val="superscript"/>
        <sz val="8"/>
        <rFont val="News Gothic"/>
        <family val="2"/>
      </rPr>
      <t>(3)</t>
    </r>
  </si>
  <si>
    <t>(2) We assess the performance of our Life Insurance and Reinsurance business based on life underwriting income which includes net investment income.</t>
  </si>
  <si>
    <t>(3) See page 21 Non-GAAP Financial Measures.</t>
  </si>
  <si>
    <t>Net balance at March 31, 2007</t>
  </si>
  <si>
    <t>(1) Other includes amounts recoverable that are in dispute, or are from companies who are in supervision, rehabilitation or liquidation.  Our estimate of provision for uncollectible reinsurance associated with Other considers the credit quality of the reinsurer, and whether we have received collateral or other credit protections such as multi-beneficiary trusts and parental guarantees.</t>
  </si>
  <si>
    <t>(2) Other includes amounts recoverable that are in dispute, or are from companies who are in supervision, rehabilitation or liquidation for Brandywine Group and active operations.  Our estimation of the reserve for other, considers the merits of the underlying matter, the credit quality of the reinsurer, and whether we have received collateral or other credit protections such multi-beneficiary trusts and parental guarantees.</t>
  </si>
  <si>
    <t xml:space="preserve">(1) Consistent with GAAP, premiums collected on universal life contracts are considered deposits and excluded from premium revenue.  For the quarter ended June 30, 2007, premiums collected on universal life contracts that were excluded from premium revenue above aggregated to $10.6 million.  Previous to Q2-07, premiums collected on universal life contracts were inconsequential.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</si>
</sst>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quot;$&quot;* #,##0.0_);_(&quot;$&quot;* \(#,##0.0\);_(&quot;$&quot;* &quot;-&quot;??_);_(@_)"/>
    <numFmt numFmtId="166" formatCode="0.0%"/>
    <numFmt numFmtId="167" formatCode="_(&quot;$&quot;* #,##0_);_(&quot;$&quot;* \(#,##0\);_(&quot;$&quot;* &quot;-&quot;??_);_(@_)"/>
    <numFmt numFmtId="168" formatCode="_(* #,##0_);_(* \(#,##0\);_(* &quot;-&quot;??_);_(@_)"/>
    <numFmt numFmtId="169" formatCode="mmmm\ d"/>
    <numFmt numFmtId="170" formatCode="0.00000"/>
    <numFmt numFmtId="171" formatCode="0_);\(0\)"/>
    <numFmt numFmtId="172" formatCode="#,##0.000_);\(#,##0.000\)"/>
    <numFmt numFmtId="173" formatCode="_(* #,##0.0_);_(* \(#,##0.0\);_(* &quot;-&quot;_);_(@_)"/>
    <numFmt numFmtId="174" formatCode="m/d/yy"/>
    <numFmt numFmtId="175" formatCode="dd\-mmm\-yy"/>
    <numFmt numFmtId="176" formatCode="mmmm\ d\,\ yyyy"/>
    <numFmt numFmtId="177" formatCode="#,##0.0000_);\(#,##0.0000\)"/>
    <numFmt numFmtId="178" formatCode="mmmm\-yy"/>
    <numFmt numFmtId="179" formatCode="#,##0.0%;\(#,##0.0%\)"/>
    <numFmt numFmtId="180" formatCode="_(* #,##0.0_);_(* \(#,##0.0\);_(* &quot;-&quot;??_);_(@_)"/>
    <numFmt numFmtId="181" formatCode="_(&quot;$&quot;* #,##0.000_);_(&quot;$&quot;* \(#,##0.000\);_(&quot;$&quot;* &quot;-&quot;???_);_(@_)"/>
    <numFmt numFmtId="182" formatCode="_(&quot;$&quot;* #,##0.000_);_(&quot;$&quot;* \(#,##0.000\);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409]h:mm:ss\ AM/PM"/>
    <numFmt numFmtId="189" formatCode="[$-F400]h:mm:ss\ AM/PM"/>
    <numFmt numFmtId="190" formatCode="[$-409]h:mm\ AM/PM;@"/>
  </numFmts>
  <fonts count="51">
    <font>
      <sz val="10"/>
      <name val="Times New Roman"/>
      <family val="1"/>
    </font>
    <font>
      <sz val="10"/>
      <name val="Arial"/>
      <family val="0"/>
    </font>
    <font>
      <b/>
      <sz val="10"/>
      <name val="Times New Roman"/>
      <family val="1"/>
    </font>
    <font>
      <sz val="10"/>
      <name val="Helv"/>
      <family val="0"/>
    </font>
    <font>
      <sz val="12"/>
      <name val="Helv"/>
      <family val="0"/>
    </font>
    <font>
      <u val="single"/>
      <sz val="10"/>
      <color indexed="12"/>
      <name val="Times New Roman"/>
      <family val="1"/>
    </font>
    <font>
      <u val="single"/>
      <sz val="10"/>
      <color indexed="36"/>
      <name val="Times New Roman"/>
      <family val="1"/>
    </font>
    <font>
      <b/>
      <sz val="10"/>
      <name val="News Gothic"/>
      <family val="2"/>
    </font>
    <font>
      <sz val="8"/>
      <name val="News Gothic"/>
      <family val="2"/>
    </font>
    <font>
      <b/>
      <sz val="8"/>
      <name val="News Gothic"/>
      <family val="2"/>
    </font>
    <font>
      <b/>
      <sz val="7"/>
      <name val="News Gothic"/>
      <family val="2"/>
    </font>
    <font>
      <b/>
      <u val="single"/>
      <sz val="10"/>
      <name val="News Gothic"/>
      <family val="2"/>
    </font>
    <font>
      <b/>
      <i/>
      <sz val="8"/>
      <name val="News Gothic"/>
      <family val="2"/>
    </font>
    <font>
      <sz val="6"/>
      <name val="News Gothic"/>
      <family val="2"/>
    </font>
    <font>
      <b/>
      <u val="single"/>
      <sz val="8"/>
      <name val="News Gothic"/>
      <family val="2"/>
    </font>
    <font>
      <sz val="10"/>
      <name val="News Gothic"/>
      <family val="2"/>
    </font>
    <font>
      <b/>
      <sz val="12"/>
      <name val="News Gothic"/>
      <family val="2"/>
    </font>
    <font>
      <b/>
      <vertAlign val="superscript"/>
      <sz val="8"/>
      <name val="News Gothic"/>
      <family val="2"/>
    </font>
    <font>
      <vertAlign val="superscript"/>
      <sz val="8"/>
      <name val="News Gothic"/>
      <family val="2"/>
    </font>
    <font>
      <vertAlign val="superscript"/>
      <sz val="7"/>
      <name val="News Gothic"/>
      <family val="2"/>
    </font>
    <font>
      <sz val="7"/>
      <name val="News Gothic"/>
      <family val="2"/>
    </font>
    <font>
      <b/>
      <i/>
      <u val="single"/>
      <sz val="8"/>
      <name val="News Gothic"/>
      <family val="2"/>
    </font>
    <font>
      <b/>
      <sz val="6"/>
      <name val="News Gothic"/>
      <family val="2"/>
    </font>
    <font>
      <sz val="8"/>
      <color indexed="53"/>
      <name val="News Gothic"/>
      <family val="2"/>
    </font>
    <font>
      <sz val="8"/>
      <color indexed="12"/>
      <name val="News Gothic"/>
      <family val="2"/>
    </font>
    <font>
      <u val="single"/>
      <sz val="8"/>
      <color indexed="12"/>
      <name val="News Gothic"/>
      <family val="2"/>
    </font>
    <font>
      <b/>
      <sz val="14"/>
      <name val="News Gothic"/>
      <family val="2"/>
    </font>
    <font>
      <sz val="18"/>
      <color indexed="9"/>
      <name val="News Gothic"/>
      <family val="2"/>
    </font>
    <font>
      <sz val="12"/>
      <name val="News Gothic"/>
      <family val="2"/>
    </font>
    <font>
      <sz val="8"/>
      <name val="Times New Roman"/>
      <family val="1"/>
    </font>
    <font>
      <b/>
      <u val="single"/>
      <sz val="8"/>
      <name val="Times New Roman"/>
      <family val="1"/>
    </font>
    <font>
      <sz val="7"/>
      <name val="Times New Roman"/>
      <family val="1"/>
    </font>
    <font>
      <b/>
      <sz val="8"/>
      <color indexed="12"/>
      <name val="News Gothic"/>
      <family val="2"/>
    </font>
    <font>
      <i/>
      <sz val="8"/>
      <name val="News Gothic"/>
      <family val="0"/>
    </font>
    <font>
      <u val="single"/>
      <sz val="8"/>
      <name val="News Gothic"/>
      <family val="0"/>
    </font>
    <font>
      <b/>
      <sz val="10"/>
      <color indexed="10"/>
      <name val="News Gothic"/>
      <family val="2"/>
    </font>
    <font>
      <b/>
      <u val="single"/>
      <sz val="9"/>
      <name val="News Gothic"/>
      <family val="2"/>
    </font>
    <font>
      <sz val="8"/>
      <color indexed="10"/>
      <name val="News Gothic"/>
      <family val="2"/>
    </font>
    <font>
      <u val="single"/>
      <sz val="10"/>
      <name val="News Gothic"/>
      <family val="2"/>
    </font>
    <font>
      <b/>
      <u val="single"/>
      <vertAlign val="superscript"/>
      <sz val="8"/>
      <name val="News Gothic"/>
      <family val="0"/>
    </font>
    <font>
      <sz val="8"/>
      <name val="Arial"/>
      <family val="0"/>
    </font>
    <font>
      <b/>
      <sz val="8"/>
      <name val="Arial"/>
      <family val="0"/>
    </font>
    <font>
      <sz val="10"/>
      <name val="Bookman"/>
      <family val="0"/>
    </font>
    <font>
      <b/>
      <i/>
      <sz val="8"/>
      <color indexed="10"/>
      <name val="News Gothic"/>
      <family val="2"/>
    </font>
    <font>
      <sz val="3"/>
      <name val="News Gothic"/>
      <family val="2"/>
    </font>
    <font>
      <sz val="5"/>
      <name val="News Gothic"/>
      <family val="2"/>
    </font>
    <font>
      <sz val="4"/>
      <name val="News Gothic"/>
      <family val="2"/>
    </font>
    <font>
      <sz val="20"/>
      <name val="News Gothic"/>
      <family val="2"/>
    </font>
    <font>
      <b/>
      <sz val="20"/>
      <color indexed="10"/>
      <name val="News Gothic"/>
      <family val="2"/>
    </font>
    <font>
      <sz val="16"/>
      <name val="News Gothic"/>
      <family val="2"/>
    </font>
    <font>
      <strike/>
      <sz val="10"/>
      <name val="News Gothic"/>
      <family val="2"/>
    </font>
  </fonts>
  <fills count="4">
    <fill>
      <patternFill/>
    </fill>
    <fill>
      <patternFill patternType="gray125"/>
    </fill>
    <fill>
      <patternFill patternType="solid">
        <fgColor indexed="63"/>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s>
  <cellStyleXfs count="27">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39" fontId="0" fillId="0" borderId="0">
      <alignment/>
      <protection/>
    </xf>
    <xf numFmtId="170" fontId="42" fillId="0" borderId="0">
      <alignment/>
      <protection/>
    </xf>
    <xf numFmtId="0" fontId="3" fillId="0" borderId="0">
      <alignment/>
      <protection/>
    </xf>
    <xf numFmtId="3" fontId="4" fillId="0" borderId="0">
      <alignment/>
      <protection/>
    </xf>
    <xf numFmtId="0" fontId="4" fillId="0" borderId="0">
      <alignment/>
      <protection/>
    </xf>
    <xf numFmtId="9" fontId="1" fillId="0" borderId="0" applyFont="0" applyFill="0" applyBorder="0" applyAlignment="0" applyProtection="0"/>
  </cellStyleXfs>
  <cellXfs count="656">
    <xf numFmtId="39" fontId="0" fillId="0" borderId="0" xfId="0" applyAlignment="1">
      <alignment/>
    </xf>
    <xf numFmtId="39" fontId="8" fillId="0" borderId="0" xfId="0" applyFont="1" applyAlignment="1">
      <alignment/>
    </xf>
    <xf numFmtId="39" fontId="9" fillId="0" borderId="0" xfId="0" applyFont="1" applyAlignment="1">
      <alignment horizontal="center"/>
    </xf>
    <xf numFmtId="39" fontId="11" fillId="0" borderId="0" xfId="0" applyFont="1" applyAlignment="1">
      <alignment/>
    </xf>
    <xf numFmtId="39" fontId="9" fillId="0" borderId="1" xfId="0" applyFont="1" applyBorder="1" applyAlignment="1">
      <alignment horizontal="center"/>
    </xf>
    <xf numFmtId="39" fontId="9" fillId="0" borderId="0" xfId="0" applyFont="1" applyBorder="1" applyAlignment="1">
      <alignment horizontal="center"/>
    </xf>
    <xf numFmtId="0" fontId="9" fillId="0" borderId="1" xfId="0" applyNumberFormat="1" applyFont="1" applyBorder="1" applyAlignment="1">
      <alignment horizontal="center"/>
    </xf>
    <xf numFmtId="39" fontId="8" fillId="0" borderId="0" xfId="0" applyFont="1" applyBorder="1" applyAlignment="1">
      <alignment/>
    </xf>
    <xf numFmtId="9" fontId="8" fillId="0" borderId="0" xfId="26" applyFont="1" applyAlignment="1">
      <alignment/>
    </xf>
    <xf numFmtId="37" fontId="8" fillId="0" borderId="0" xfId="0" applyNumberFormat="1" applyFont="1" applyAlignment="1">
      <alignment/>
    </xf>
    <xf numFmtId="41" fontId="8" fillId="0" borderId="0" xfId="0" applyNumberFormat="1" applyFont="1" applyBorder="1" applyAlignment="1">
      <alignment/>
    </xf>
    <xf numFmtId="37" fontId="8" fillId="0" borderId="2" xfId="0" applyNumberFormat="1" applyFont="1" applyBorder="1" applyAlignment="1">
      <alignment/>
    </xf>
    <xf numFmtId="37" fontId="8" fillId="0" borderId="0" xfId="0" applyNumberFormat="1" applyFont="1" applyBorder="1" applyAlignment="1">
      <alignment/>
    </xf>
    <xf numFmtId="41" fontId="8" fillId="0" borderId="1" xfId="0" applyNumberFormat="1" applyFont="1" applyBorder="1" applyAlignment="1">
      <alignment/>
    </xf>
    <xf numFmtId="39" fontId="9" fillId="0" borderId="0" xfId="0" applyFont="1" applyAlignment="1">
      <alignment/>
    </xf>
    <xf numFmtId="0" fontId="8" fillId="0" borderId="0" xfId="0" applyNumberFormat="1" applyFont="1" applyBorder="1" applyAlignment="1">
      <alignment/>
    </xf>
    <xf numFmtId="166" fontId="8" fillId="0" borderId="0" xfId="26" applyNumberFormat="1" applyFont="1" applyFill="1" applyAlignment="1">
      <alignment/>
    </xf>
    <xf numFmtId="166" fontId="8" fillId="0" borderId="0" xfId="26" applyNumberFormat="1" applyFont="1" applyFill="1" applyBorder="1" applyAlignment="1">
      <alignment/>
    </xf>
    <xf numFmtId="166" fontId="8" fillId="0" borderId="1" xfId="26" applyNumberFormat="1" applyFont="1" applyFill="1" applyBorder="1" applyAlignment="1">
      <alignment/>
    </xf>
    <xf numFmtId="39" fontId="7" fillId="0" borderId="0" xfId="0" applyFont="1" applyAlignment="1">
      <alignment horizontal="center"/>
    </xf>
    <xf numFmtId="39" fontId="10" fillId="0" borderId="0" xfId="0" applyFont="1" applyAlignment="1">
      <alignment horizontal="center"/>
    </xf>
    <xf numFmtId="0" fontId="9" fillId="0" borderId="0" xfId="0" applyNumberFormat="1" applyFont="1" applyAlignment="1">
      <alignment horizontal="center"/>
    </xf>
    <xf numFmtId="0" fontId="9" fillId="0" borderId="1" xfId="0" applyNumberFormat="1" applyFont="1" applyBorder="1" applyAlignment="1" quotePrefix="1">
      <alignment horizontal="center"/>
    </xf>
    <xf numFmtId="39" fontId="8" fillId="0" borderId="0" xfId="0" applyFont="1" applyAlignment="1">
      <alignment/>
    </xf>
    <xf numFmtId="39" fontId="8" fillId="0" borderId="0" xfId="0" applyFont="1" applyAlignment="1">
      <alignment horizontal="left" indent="1"/>
    </xf>
    <xf numFmtId="37" fontId="8" fillId="0" borderId="2" xfId="0" applyNumberFormat="1" applyFont="1" applyBorder="1" applyAlignment="1">
      <alignment/>
    </xf>
    <xf numFmtId="166" fontId="8" fillId="0" borderId="0" xfId="26" applyNumberFormat="1" applyFont="1" applyFill="1" applyAlignment="1">
      <alignment/>
    </xf>
    <xf numFmtId="166" fontId="8" fillId="0" borderId="1" xfId="26" applyNumberFormat="1" applyFont="1" applyFill="1" applyBorder="1" applyAlignment="1">
      <alignment/>
    </xf>
    <xf numFmtId="37" fontId="8" fillId="0" borderId="0" xfId="0" applyNumberFormat="1" applyFont="1" applyAlignment="1">
      <alignment/>
    </xf>
    <xf numFmtId="0" fontId="9" fillId="0" borderId="0" xfId="0" applyNumberFormat="1" applyFont="1" applyBorder="1" applyAlignment="1" quotePrefix="1">
      <alignment horizontal="center"/>
    </xf>
    <xf numFmtId="164" fontId="8" fillId="0" borderId="0" xfId="0" applyNumberFormat="1" applyFont="1" applyFill="1" applyAlignment="1">
      <alignment/>
    </xf>
    <xf numFmtId="167" fontId="8" fillId="0" borderId="0" xfId="17" applyNumberFormat="1" applyFont="1" applyFill="1" applyAlignment="1">
      <alignment/>
    </xf>
    <xf numFmtId="167" fontId="8" fillId="0" borderId="0" xfId="17" applyNumberFormat="1" applyFont="1" applyFill="1" applyBorder="1" applyAlignment="1">
      <alignment/>
    </xf>
    <xf numFmtId="39" fontId="9" fillId="0" borderId="0" xfId="0" applyFont="1" applyFill="1" applyAlignment="1">
      <alignment/>
    </xf>
    <xf numFmtId="167" fontId="9" fillId="0" borderId="0" xfId="17" applyNumberFormat="1" applyFont="1" applyFill="1" applyBorder="1" applyAlignment="1">
      <alignment/>
    </xf>
    <xf numFmtId="39" fontId="13" fillId="0" borderId="0" xfId="0" applyFont="1" applyAlignment="1">
      <alignment/>
    </xf>
    <xf numFmtId="39" fontId="14" fillId="0" borderId="0" xfId="0" applyFont="1" applyAlignment="1">
      <alignment/>
    </xf>
    <xf numFmtId="42" fontId="8" fillId="0" borderId="0" xfId="17" applyNumberFormat="1" applyFont="1" applyFill="1" applyAlignment="1">
      <alignment/>
    </xf>
    <xf numFmtId="168" fontId="8" fillId="0" borderId="0" xfId="15" applyNumberFormat="1" applyFont="1" applyFill="1" applyBorder="1" applyAlignment="1">
      <alignment/>
    </xf>
    <xf numFmtId="41" fontId="8" fillId="0" borderId="0" xfId="15" applyNumberFormat="1" applyFont="1" applyFill="1" applyBorder="1" applyAlignment="1">
      <alignment/>
    </xf>
    <xf numFmtId="37" fontId="8" fillId="0" borderId="0" xfId="0" applyNumberFormat="1" applyFont="1" applyFill="1" applyAlignment="1">
      <alignment/>
    </xf>
    <xf numFmtId="166" fontId="8" fillId="0" borderId="0" xfId="26" applyNumberFormat="1" applyFont="1" applyAlignment="1">
      <alignment/>
    </xf>
    <xf numFmtId="39" fontId="8" fillId="0" borderId="0" xfId="0" applyFont="1" applyFill="1" applyAlignment="1">
      <alignment/>
    </xf>
    <xf numFmtId="39" fontId="14" fillId="0" borderId="0" xfId="0" applyFont="1" applyBorder="1" applyAlignment="1">
      <alignment/>
    </xf>
    <xf numFmtId="37" fontId="9" fillId="0" borderId="0" xfId="0" applyNumberFormat="1" applyFont="1" applyAlignment="1">
      <alignment horizontal="center"/>
    </xf>
    <xf numFmtId="167" fontId="8" fillId="0" borderId="0" xfId="17" applyNumberFormat="1" applyFont="1" applyFill="1" applyAlignment="1">
      <alignment/>
    </xf>
    <xf numFmtId="41" fontId="8" fillId="0" borderId="0" xfId="23" applyNumberFormat="1" applyFont="1" applyFill="1" applyBorder="1" applyAlignment="1">
      <alignment/>
      <protection/>
    </xf>
    <xf numFmtId="37" fontId="8" fillId="0" borderId="0" xfId="15" applyNumberFormat="1" applyFont="1" applyFill="1" applyAlignment="1">
      <alignment/>
    </xf>
    <xf numFmtId="37" fontId="8" fillId="0" borderId="0" xfId="15" applyNumberFormat="1" applyFont="1" applyFill="1" applyAlignment="1">
      <alignment/>
    </xf>
    <xf numFmtId="0" fontId="8" fillId="0" borderId="0" xfId="0" applyNumberFormat="1" applyFont="1" applyBorder="1" applyAlignment="1">
      <alignment wrapText="1"/>
    </xf>
    <xf numFmtId="166" fontId="8" fillId="0" borderId="0" xfId="17" applyNumberFormat="1" applyFont="1" applyFill="1" applyBorder="1" applyAlignment="1">
      <alignment/>
    </xf>
    <xf numFmtId="166" fontId="8" fillId="0" borderId="0" xfId="17" applyNumberFormat="1" applyFont="1" applyFill="1" applyBorder="1" applyAlignment="1">
      <alignment/>
    </xf>
    <xf numFmtId="39" fontId="15" fillId="0" borderId="0" xfId="0" applyFont="1" applyAlignment="1">
      <alignment/>
    </xf>
    <xf numFmtId="41" fontId="8" fillId="0" borderId="0" xfId="0" applyNumberFormat="1" applyFont="1" applyFill="1" applyBorder="1" applyAlignment="1">
      <alignment/>
    </xf>
    <xf numFmtId="39" fontId="9" fillId="0" borderId="0" xfId="0" applyFont="1" applyAlignment="1">
      <alignment/>
    </xf>
    <xf numFmtId="39" fontId="12" fillId="0" borderId="0" xfId="0" applyFont="1" applyAlignment="1">
      <alignment horizontal="left" indent="2"/>
    </xf>
    <xf numFmtId="166" fontId="8" fillId="0" borderId="0" xfId="26" applyNumberFormat="1" applyFont="1" applyFill="1" applyBorder="1" applyAlignment="1">
      <alignment/>
    </xf>
    <xf numFmtId="49" fontId="13" fillId="0" borderId="0" xfId="0" applyNumberFormat="1" applyFont="1" applyAlignment="1">
      <alignment horizontal="left"/>
    </xf>
    <xf numFmtId="42" fontId="8" fillId="0" borderId="0" xfId="17" applyNumberFormat="1" applyFont="1" applyFill="1" applyAlignment="1">
      <alignment/>
    </xf>
    <xf numFmtId="42" fontId="8" fillId="0" borderId="0" xfId="17" applyNumberFormat="1" applyFont="1" applyFill="1" applyBorder="1" applyAlignment="1">
      <alignment/>
    </xf>
    <xf numFmtId="39" fontId="9" fillId="0" borderId="1" xfId="0" applyFont="1" applyFill="1" applyBorder="1" applyAlignment="1">
      <alignment horizontal="center"/>
    </xf>
    <xf numFmtId="39" fontId="8" fillId="0" borderId="0" xfId="0" applyFont="1" applyBorder="1" applyAlignment="1">
      <alignment/>
    </xf>
    <xf numFmtId="39" fontId="8" fillId="0" borderId="0" xfId="0" applyFont="1" applyFill="1" applyAlignment="1">
      <alignment/>
    </xf>
    <xf numFmtId="168" fontId="8" fillId="0" borderId="0" xfId="15" applyNumberFormat="1" applyFont="1" applyFill="1" applyAlignment="1">
      <alignment/>
    </xf>
    <xf numFmtId="39" fontId="9" fillId="0" borderId="2" xfId="0" applyFont="1" applyBorder="1" applyAlignment="1">
      <alignment/>
    </xf>
    <xf numFmtId="39" fontId="9" fillId="0" borderId="0" xfId="0" applyFont="1" applyBorder="1" applyAlignment="1">
      <alignment/>
    </xf>
    <xf numFmtId="39" fontId="15" fillId="0" borderId="0" xfId="0" applyFont="1" applyAlignment="1">
      <alignment/>
    </xf>
    <xf numFmtId="39" fontId="8" fillId="0" borderId="2" xfId="0" applyFont="1" applyBorder="1" applyAlignment="1">
      <alignment/>
    </xf>
    <xf numFmtId="0" fontId="8" fillId="0" borderId="0" xfId="0" applyNumberFormat="1" applyFont="1" applyAlignment="1" applyProtection="1">
      <alignment/>
      <protection/>
    </xf>
    <xf numFmtId="0" fontId="14" fillId="0" borderId="0" xfId="0" applyNumberFormat="1" applyFont="1" applyAlignment="1" applyProtection="1">
      <alignment/>
      <protection/>
    </xf>
    <xf numFmtId="0" fontId="14" fillId="0" borderId="0" xfId="0" applyNumberFormat="1" applyFont="1" applyBorder="1" applyAlignment="1" applyProtection="1">
      <alignment/>
      <protection/>
    </xf>
    <xf numFmtId="39" fontId="15" fillId="0" borderId="0" xfId="0" applyFont="1" applyAlignment="1">
      <alignment wrapText="1"/>
    </xf>
    <xf numFmtId="39" fontId="9" fillId="0" borderId="0" xfId="0" applyFont="1" applyFill="1" applyBorder="1" applyAlignment="1">
      <alignment/>
    </xf>
    <xf numFmtId="0" fontId="7" fillId="0" borderId="0" xfId="23" applyNumberFormat="1" applyFont="1" applyFill="1" applyAlignment="1">
      <alignment horizontal="centerContinuous" vertical="center"/>
      <protection/>
    </xf>
    <xf numFmtId="0" fontId="10" fillId="0" borderId="0" xfId="23" applyNumberFormat="1" applyFont="1" applyFill="1" applyAlignment="1">
      <alignment horizontal="centerContinuous" vertical="center"/>
      <protection/>
    </xf>
    <xf numFmtId="39" fontId="8" fillId="0" borderId="0" xfId="0" applyFont="1" applyFill="1" applyBorder="1" applyAlignment="1">
      <alignment/>
    </xf>
    <xf numFmtId="39" fontId="8" fillId="0" borderId="0" xfId="0" applyFont="1" applyAlignment="1">
      <alignment wrapText="1"/>
    </xf>
    <xf numFmtId="39" fontId="8" fillId="0" borderId="0" xfId="0" applyFont="1" applyAlignment="1">
      <alignment horizontal="left"/>
    </xf>
    <xf numFmtId="39" fontId="8" fillId="0" borderId="0" xfId="0" applyFont="1" applyAlignment="1">
      <alignment horizontal="left" wrapText="1"/>
    </xf>
    <xf numFmtId="39" fontId="8" fillId="0" borderId="1" xfId="0" applyFont="1" applyBorder="1" applyAlignment="1">
      <alignment/>
    </xf>
    <xf numFmtId="39" fontId="9" fillId="0" borderId="0" xfId="0" applyFont="1" applyAlignment="1">
      <alignment horizontal="left"/>
    </xf>
    <xf numFmtId="0" fontId="8" fillId="0" borderId="0" xfId="0" applyNumberFormat="1" applyFont="1" applyBorder="1" applyAlignment="1" applyProtection="1">
      <alignment/>
      <protection/>
    </xf>
    <xf numFmtId="174" fontId="9" fillId="0" borderId="1" xfId="0" applyNumberFormat="1" applyFont="1" applyBorder="1" applyAlignment="1">
      <alignment horizontal="center"/>
    </xf>
    <xf numFmtId="39" fontId="21" fillId="0" borderId="0" xfId="0" applyFont="1" applyBorder="1" applyAlignment="1">
      <alignment/>
    </xf>
    <xf numFmtId="39" fontId="8" fillId="0" borderId="0" xfId="0" applyFont="1" applyFill="1" applyBorder="1" applyAlignment="1">
      <alignment horizontal="left" indent="1"/>
    </xf>
    <xf numFmtId="37" fontId="8" fillId="0" borderId="0" xfId="0" applyNumberFormat="1" applyFont="1" applyFill="1" applyBorder="1" applyAlignment="1">
      <alignment/>
    </xf>
    <xf numFmtId="39" fontId="8" fillId="0" borderId="0" xfId="0" applyFont="1" applyAlignment="1">
      <alignment horizontal="right"/>
    </xf>
    <xf numFmtId="39" fontId="8" fillId="0" borderId="0" xfId="0" applyFont="1" applyAlignment="1">
      <alignment horizontal="centerContinuous"/>
    </xf>
    <xf numFmtId="39" fontId="7" fillId="0" borderId="0" xfId="0" applyFont="1" applyAlignment="1">
      <alignment horizontal="centerContinuous"/>
    </xf>
    <xf numFmtId="39" fontId="9" fillId="0" borderId="0" xfId="0" applyFont="1" applyAlignment="1">
      <alignment horizontal="centerContinuous"/>
    </xf>
    <xf numFmtId="39" fontId="10" fillId="0" borderId="0" xfId="0" applyFont="1" applyAlignment="1">
      <alignment horizontal="centerContinuous"/>
    </xf>
    <xf numFmtId="39" fontId="8" fillId="0" borderId="0" xfId="0" applyFont="1" applyFill="1" applyAlignment="1">
      <alignment wrapText="1"/>
    </xf>
    <xf numFmtId="39" fontId="8" fillId="0" borderId="0" xfId="0" applyFont="1" applyAlignment="1">
      <alignment horizontal="left" vertical="top" wrapText="1" indent="1"/>
    </xf>
    <xf numFmtId="39" fontId="7" fillId="0" borderId="0" xfId="0" applyFont="1" applyAlignment="1">
      <alignment/>
    </xf>
    <xf numFmtId="37" fontId="8" fillId="0" borderId="0" xfId="0" applyNumberFormat="1" applyFont="1" applyFill="1" applyBorder="1" applyAlignment="1">
      <alignment horizontal="right"/>
    </xf>
    <xf numFmtId="37" fontId="8" fillId="0" borderId="0" xfId="0" applyNumberFormat="1" applyFont="1" applyFill="1" applyBorder="1" applyAlignment="1">
      <alignment horizontal="left"/>
    </xf>
    <xf numFmtId="39" fontId="8" fillId="0" borderId="0" xfId="0" applyFont="1" applyAlignment="1">
      <alignment vertical="top"/>
    </xf>
    <xf numFmtId="39" fontId="8" fillId="0" borderId="0" xfId="0" applyFont="1" applyBorder="1" applyAlignment="1">
      <alignment vertical="top"/>
    </xf>
    <xf numFmtId="37" fontId="8" fillId="0" borderId="0" xfId="0" applyNumberFormat="1" applyFont="1" applyFill="1" applyBorder="1" applyAlignment="1">
      <alignment horizontal="right" vertical="top"/>
    </xf>
    <xf numFmtId="39" fontId="8" fillId="0" borderId="0" xfId="0" applyFont="1" applyAlignment="1">
      <alignment horizontal="center" wrapText="1"/>
    </xf>
    <xf numFmtId="39" fontId="13" fillId="0" borderId="0" xfId="0" applyFont="1" applyAlignment="1">
      <alignment/>
    </xf>
    <xf numFmtId="39" fontId="9" fillId="0" borderId="1" xfId="0" applyFont="1" applyBorder="1" applyAlignment="1">
      <alignment horizontal="centerContinuous"/>
    </xf>
    <xf numFmtId="39" fontId="8" fillId="0" borderId="0" xfId="0" applyFont="1" applyBorder="1" applyAlignment="1">
      <alignment wrapText="1"/>
    </xf>
    <xf numFmtId="0" fontId="10" fillId="0" borderId="0" xfId="0" applyNumberFormat="1" applyFont="1" applyBorder="1" applyAlignment="1" applyProtection="1">
      <alignment horizontal="center"/>
      <protection/>
    </xf>
    <xf numFmtId="167" fontId="8" fillId="0" borderId="0" xfId="0" applyNumberFormat="1" applyFont="1" applyFill="1" applyAlignment="1" applyProtection="1">
      <alignment/>
      <protection/>
    </xf>
    <xf numFmtId="41" fontId="8" fillId="0" borderId="0" xfId="0" applyNumberFormat="1" applyFont="1" applyFill="1" applyBorder="1" applyAlignment="1" applyProtection="1">
      <alignment/>
      <protection/>
    </xf>
    <xf numFmtId="167" fontId="8" fillId="0" borderId="0" xfId="0" applyNumberFormat="1" applyFont="1" applyFill="1" applyBorder="1" applyAlignment="1" applyProtection="1">
      <alignment/>
      <protection/>
    </xf>
    <xf numFmtId="44" fontId="8" fillId="0" borderId="0" xfId="17" applyFont="1" applyAlignment="1" applyProtection="1">
      <alignment/>
      <protection/>
    </xf>
    <xf numFmtId="44" fontId="8" fillId="0" borderId="0" xfId="17" applyFont="1" applyFill="1" applyAlignment="1" applyProtection="1">
      <alignment/>
      <protection/>
    </xf>
    <xf numFmtId="0" fontId="8" fillId="0" borderId="0" xfId="23" applyFont="1" applyAlignment="1">
      <alignment/>
      <protection/>
    </xf>
    <xf numFmtId="0" fontId="9" fillId="0" borderId="0" xfId="23" applyNumberFormat="1" applyFont="1" applyAlignment="1">
      <alignment/>
      <protection/>
    </xf>
    <xf numFmtId="0" fontId="9" fillId="0" borderId="0" xfId="25" applyFont="1" applyAlignment="1" applyProtection="1">
      <alignment horizontal="center"/>
      <protection/>
    </xf>
    <xf numFmtId="0" fontId="9" fillId="0" borderId="0" xfId="23" applyNumberFormat="1" applyFont="1" applyBorder="1" applyAlignment="1">
      <alignment/>
      <protection/>
    </xf>
    <xf numFmtId="0" fontId="9" fillId="0" borderId="1" xfId="24" applyNumberFormat="1" applyFont="1" applyBorder="1" applyAlignment="1" applyProtection="1">
      <alignment horizontal="center"/>
      <protection/>
    </xf>
    <xf numFmtId="41" fontId="8" fillId="0" borderId="0" xfId="23" applyNumberFormat="1" applyFont="1" applyBorder="1" applyAlignment="1">
      <alignment/>
      <protection/>
    </xf>
    <xf numFmtId="0" fontId="8" fillId="0" borderId="0" xfId="23" applyNumberFormat="1" applyFont="1" applyAlignment="1">
      <alignment/>
      <protection/>
    </xf>
    <xf numFmtId="0" fontId="8" fillId="0" borderId="0" xfId="23" applyNumberFormat="1" applyFont="1" applyBorder="1" applyAlignment="1">
      <alignment/>
      <protection/>
    </xf>
    <xf numFmtId="0" fontId="8" fillId="0" borderId="0" xfId="23" applyNumberFormat="1" applyFont="1" applyBorder="1" applyAlignment="1">
      <alignment wrapText="1"/>
      <protection/>
    </xf>
    <xf numFmtId="0" fontId="8" fillId="0" borderId="0" xfId="23" applyNumberFormat="1" applyFont="1" applyFill="1" applyBorder="1" applyAlignment="1">
      <alignment/>
      <protection/>
    </xf>
    <xf numFmtId="0" fontId="23" fillId="0" borderId="0" xfId="23" applyNumberFormat="1" applyFont="1" applyFill="1" applyBorder="1" applyAlignment="1">
      <alignment/>
      <protection/>
    </xf>
    <xf numFmtId="44" fontId="8" fillId="0" borderId="0" xfId="23" applyNumberFormat="1" applyFont="1" applyFill="1" applyBorder="1" applyAlignment="1">
      <alignment/>
      <protection/>
    </xf>
    <xf numFmtId="43" fontId="8" fillId="0" borderId="0" xfId="15" applyFont="1" applyFill="1" applyBorder="1" applyAlignment="1">
      <alignment/>
    </xf>
    <xf numFmtId="0" fontId="9" fillId="0" borderId="0" xfId="0" applyNumberFormat="1" applyFont="1" applyBorder="1" applyAlignment="1">
      <alignment horizontal="center"/>
    </xf>
    <xf numFmtId="0" fontId="9" fillId="0" borderId="1" xfId="25" applyFont="1" applyBorder="1" applyAlignment="1" applyProtection="1">
      <alignment horizontal="center"/>
      <protection/>
    </xf>
    <xf numFmtId="0" fontId="9" fillId="0" borderId="0" xfId="25" applyFont="1" applyBorder="1" applyAlignment="1" applyProtection="1">
      <alignment horizontal="center"/>
      <protection/>
    </xf>
    <xf numFmtId="0" fontId="12" fillId="0" borderId="0" xfId="0" applyNumberFormat="1" applyFont="1" applyBorder="1" applyAlignment="1">
      <alignment/>
    </xf>
    <xf numFmtId="0" fontId="8" fillId="0" borderId="0" xfId="0" applyNumberFormat="1" applyFont="1" applyBorder="1" applyAlignment="1">
      <alignment horizontal="center"/>
    </xf>
    <xf numFmtId="9" fontId="8" fillId="0" borderId="0" xfId="26" applyFont="1" applyFill="1" applyAlignment="1">
      <alignment/>
    </xf>
    <xf numFmtId="9" fontId="8" fillId="0" borderId="1" xfId="26" applyFont="1" applyFill="1" applyBorder="1" applyAlignment="1">
      <alignment/>
    </xf>
    <xf numFmtId="167" fontId="8" fillId="0" borderId="0" xfId="17" applyNumberFormat="1" applyFont="1" applyAlignment="1">
      <alignment horizontal="center"/>
    </xf>
    <xf numFmtId="167" fontId="8" fillId="0" borderId="0" xfId="17" applyNumberFormat="1" applyFont="1" applyFill="1" applyAlignment="1">
      <alignment horizontal="center"/>
    </xf>
    <xf numFmtId="41" fontId="8" fillId="0" borderId="0" xfId="0" applyNumberFormat="1" applyFont="1" applyAlignment="1">
      <alignment horizontal="center"/>
    </xf>
    <xf numFmtId="41" fontId="8" fillId="0" borderId="0" xfId="0" applyNumberFormat="1" applyFont="1" applyFill="1" applyAlignment="1">
      <alignment horizontal="center"/>
    </xf>
    <xf numFmtId="44" fontId="8" fillId="0" borderId="0" xfId="17" applyFont="1" applyFill="1" applyAlignment="1">
      <alignment/>
    </xf>
    <xf numFmtId="37" fontId="8" fillId="0" borderId="0" xfId="0" applyNumberFormat="1" applyFont="1" applyAlignment="1">
      <alignment horizontal="right"/>
    </xf>
    <xf numFmtId="175" fontId="8" fillId="0" borderId="0" xfId="0" applyNumberFormat="1" applyFont="1" applyAlignment="1">
      <alignment/>
    </xf>
    <xf numFmtId="39" fontId="24" fillId="0" borderId="0" xfId="20" applyFont="1" applyAlignment="1" quotePrefix="1">
      <alignment/>
    </xf>
    <xf numFmtId="39" fontId="24" fillId="0" borderId="0" xfId="20" applyFont="1" applyAlignment="1" quotePrefix="1">
      <alignment wrapText="1"/>
    </xf>
    <xf numFmtId="39" fontId="24" fillId="0" borderId="0" xfId="20" applyFont="1" applyFill="1" applyAlignment="1" quotePrefix="1">
      <alignment/>
    </xf>
    <xf numFmtId="39" fontId="25" fillId="0" borderId="0" xfId="20" applyFont="1" applyFill="1" applyAlignment="1" quotePrefix="1">
      <alignment/>
    </xf>
    <xf numFmtId="39" fontId="25" fillId="0" borderId="0" xfId="20" applyFont="1" applyFill="1" applyBorder="1" applyAlignment="1" quotePrefix="1">
      <alignment/>
    </xf>
    <xf numFmtId="39" fontId="15" fillId="0" borderId="0" xfId="0" applyFont="1" applyAlignment="1">
      <alignment horizontal="center"/>
    </xf>
    <xf numFmtId="39" fontId="8" fillId="0" borderId="0" xfId="0" applyFont="1" applyFill="1" applyBorder="1" applyAlignment="1">
      <alignment/>
    </xf>
    <xf numFmtId="39" fontId="15" fillId="0" borderId="0" xfId="0" applyFont="1" applyAlignment="1">
      <alignment horizontal="centerContinuous"/>
    </xf>
    <xf numFmtId="39" fontId="14" fillId="0" borderId="0" xfId="0" applyFont="1" applyAlignment="1">
      <alignment/>
    </xf>
    <xf numFmtId="39" fontId="26" fillId="0" borderId="0" xfId="0" applyFont="1" applyAlignment="1">
      <alignment/>
    </xf>
    <xf numFmtId="39" fontId="15" fillId="0" borderId="0" xfId="0" applyFont="1" applyFill="1" applyAlignment="1">
      <alignment/>
    </xf>
    <xf numFmtId="39" fontId="15" fillId="2" borderId="0" xfId="0" applyFont="1" applyFill="1" applyAlignment="1">
      <alignment/>
    </xf>
    <xf numFmtId="39" fontId="7" fillId="2" borderId="0" xfId="0" applyFont="1" applyFill="1" applyAlignment="1" quotePrefix="1">
      <alignment/>
    </xf>
    <xf numFmtId="39" fontId="27" fillId="2" borderId="0" xfId="0" applyFont="1" applyFill="1" applyAlignment="1">
      <alignment/>
    </xf>
    <xf numFmtId="172" fontId="15" fillId="0" borderId="0" xfId="0" applyNumberFormat="1" applyFont="1" applyAlignment="1">
      <alignment/>
    </xf>
    <xf numFmtId="39" fontId="16" fillId="0" borderId="0" xfId="0" applyFont="1" applyFill="1" applyAlignment="1" quotePrefix="1">
      <alignment/>
    </xf>
    <xf numFmtId="39" fontId="28" fillId="0" borderId="0" xfId="0" applyFont="1" applyAlignment="1">
      <alignment/>
    </xf>
    <xf numFmtId="39" fontId="15" fillId="0" borderId="0" xfId="0" applyFont="1" applyAlignment="1">
      <alignment vertical="top"/>
    </xf>
    <xf numFmtId="39" fontId="8" fillId="0" borderId="0" xfId="0" applyFont="1" applyAlignment="1">
      <alignment shrinkToFit="1"/>
    </xf>
    <xf numFmtId="39" fontId="15" fillId="0" borderId="0" xfId="0" applyFont="1" applyAlignment="1">
      <alignment horizontal="justify"/>
    </xf>
    <xf numFmtId="39" fontId="13" fillId="0" borderId="0" xfId="0" applyFont="1" applyAlignment="1">
      <alignment shrinkToFit="1"/>
    </xf>
    <xf numFmtId="0" fontId="9" fillId="0" borderId="0" xfId="24" applyNumberFormat="1" applyFont="1" applyBorder="1" applyAlignment="1" applyProtection="1">
      <alignment horizontal="centerContinuous"/>
      <protection/>
    </xf>
    <xf numFmtId="39" fontId="8" fillId="0" borderId="0" xfId="0" applyFont="1" applyFill="1" applyBorder="1" applyAlignment="1">
      <alignment horizontal="left" vertical="top" wrapText="1"/>
    </xf>
    <xf numFmtId="39" fontId="0" fillId="0" borderId="0" xfId="0" applyAlignment="1">
      <alignment/>
    </xf>
    <xf numFmtId="39" fontId="0" fillId="0" borderId="0" xfId="0" applyBorder="1" applyAlignment="1">
      <alignment/>
    </xf>
    <xf numFmtId="0" fontId="30" fillId="0" borderId="0" xfId="0" applyNumberFormat="1" applyFont="1" applyAlignment="1" applyProtection="1">
      <alignment/>
      <protection/>
    </xf>
    <xf numFmtId="39" fontId="9" fillId="0" borderId="0" xfId="0" applyFont="1" applyFill="1" applyBorder="1" applyAlignment="1">
      <alignment horizontal="center" vertical="center" wrapText="1"/>
    </xf>
    <xf numFmtId="37" fontId="9" fillId="0" borderId="0" xfId="0" applyNumberFormat="1" applyFont="1" applyBorder="1" applyAlignment="1">
      <alignment horizontal="center"/>
    </xf>
    <xf numFmtId="0" fontId="9" fillId="0" borderId="0" xfId="0" applyNumberFormat="1" applyFont="1" applyBorder="1" applyAlignment="1" applyProtection="1">
      <alignment horizontal="center"/>
      <protection/>
    </xf>
    <xf numFmtId="0" fontId="22" fillId="0" borderId="2" xfId="0" applyNumberFormat="1" applyFont="1" applyBorder="1" applyAlignment="1" applyProtection="1">
      <alignment horizontal="center"/>
      <protection/>
    </xf>
    <xf numFmtId="17" fontId="9" fillId="0" borderId="0" xfId="0" applyNumberFormat="1" applyFont="1" applyBorder="1" applyAlignment="1" quotePrefix="1">
      <alignment horizontal="center"/>
    </xf>
    <xf numFmtId="0" fontId="9" fillId="0" borderId="2" xfId="0" applyNumberFormat="1" applyFont="1" applyBorder="1" applyAlignment="1">
      <alignment horizontal="center"/>
    </xf>
    <xf numFmtId="41" fontId="8" fillId="0" borderId="0" xfId="17" applyNumberFormat="1" applyFont="1" applyFill="1" applyAlignment="1">
      <alignment/>
    </xf>
    <xf numFmtId="41" fontId="8" fillId="0" borderId="0" xfId="17" applyNumberFormat="1" applyFont="1" applyFill="1" applyBorder="1" applyAlignment="1">
      <alignment/>
    </xf>
    <xf numFmtId="39" fontId="32" fillId="0" borderId="0" xfId="20" applyFont="1" applyAlignment="1">
      <alignment/>
    </xf>
    <xf numFmtId="39" fontId="14" fillId="0" borderId="0" xfId="0" applyFont="1" applyBorder="1" applyAlignment="1">
      <alignment horizontal="right"/>
    </xf>
    <xf numFmtId="39" fontId="8" fillId="0" borderId="0" xfId="0" applyFont="1" applyAlignment="1">
      <alignment/>
    </xf>
    <xf numFmtId="0" fontId="8" fillId="0" borderId="0" xfId="0" applyNumberFormat="1" applyFont="1" applyBorder="1" applyAlignment="1">
      <alignment/>
    </xf>
    <xf numFmtId="0" fontId="8" fillId="0" borderId="0" xfId="0" applyNumberFormat="1" applyFont="1" applyBorder="1" applyAlignment="1">
      <alignment horizontal="right"/>
    </xf>
    <xf numFmtId="42" fontId="8" fillId="0" borderId="0" xfId="0" applyNumberFormat="1" applyFont="1" applyBorder="1" applyAlignment="1">
      <alignment/>
    </xf>
    <xf numFmtId="9" fontId="8" fillId="0" borderId="0" xfId="26" applyFont="1" applyFill="1" applyAlignment="1">
      <alignment/>
    </xf>
    <xf numFmtId="41" fontId="8" fillId="0" borderId="0" xfId="0" applyNumberFormat="1" applyFont="1" applyBorder="1" applyAlignment="1">
      <alignment/>
    </xf>
    <xf numFmtId="168" fontId="8" fillId="0" borderId="0" xfId="15" applyNumberFormat="1" applyFont="1" applyBorder="1" applyAlignment="1">
      <alignment/>
    </xf>
    <xf numFmtId="39" fontId="9" fillId="0" borderId="0" xfId="0" applyFont="1" applyAlignment="1">
      <alignment/>
    </xf>
    <xf numFmtId="166" fontId="8" fillId="0" borderId="3" xfId="26" applyNumberFormat="1" applyFont="1" applyFill="1" applyBorder="1" applyAlignment="1">
      <alignment/>
    </xf>
    <xf numFmtId="39" fontId="8" fillId="0" borderId="0" xfId="0" applyFont="1" applyBorder="1" applyAlignment="1">
      <alignment/>
    </xf>
    <xf numFmtId="166" fontId="8" fillId="0" borderId="3" xfId="26" applyNumberFormat="1" applyFont="1" applyFill="1" applyBorder="1" applyAlignment="1">
      <alignment/>
    </xf>
    <xf numFmtId="39" fontId="11" fillId="0" borderId="0" xfId="0" applyFont="1" applyAlignment="1">
      <alignment/>
    </xf>
    <xf numFmtId="39" fontId="11" fillId="0" borderId="0" xfId="0" applyFont="1" applyAlignment="1">
      <alignment/>
    </xf>
    <xf numFmtId="39" fontId="8" fillId="0" borderId="0" xfId="0" applyFont="1" applyAlignment="1">
      <alignment horizontal="left" indent="1"/>
    </xf>
    <xf numFmtId="0" fontId="33" fillId="0" borderId="0" xfId="0" applyNumberFormat="1" applyFont="1" applyBorder="1" applyAlignment="1">
      <alignment horizontal="left" wrapText="1" indent="2"/>
    </xf>
    <xf numFmtId="0" fontId="33" fillId="0" borderId="0" xfId="23" applyNumberFormat="1" applyFont="1" applyFill="1" applyAlignment="1">
      <alignment/>
      <protection/>
    </xf>
    <xf numFmtId="9" fontId="33" fillId="0" borderId="0" xfId="26" applyFont="1" applyFill="1" applyBorder="1" applyAlignment="1">
      <alignment/>
    </xf>
    <xf numFmtId="39" fontId="33" fillId="0" borderId="0" xfId="0" applyFont="1" applyAlignment="1">
      <alignment horizontal="left" indent="1"/>
    </xf>
    <xf numFmtId="166" fontId="8" fillId="0" borderId="3" xfId="26" applyNumberFormat="1" applyFont="1" applyFill="1" applyBorder="1" applyAlignment="1">
      <alignment/>
    </xf>
    <xf numFmtId="42" fontId="8" fillId="0" borderId="3" xfId="0" applyNumberFormat="1" applyFont="1" applyBorder="1" applyAlignment="1">
      <alignment/>
    </xf>
    <xf numFmtId="15" fontId="9" fillId="0" borderId="0" xfId="0" applyNumberFormat="1" applyFont="1" applyAlignment="1" applyProtection="1" quotePrefix="1">
      <alignment horizontal="left"/>
      <protection/>
    </xf>
    <xf numFmtId="39" fontId="9" fillId="0" borderId="0" xfId="0" applyFont="1" applyBorder="1" applyAlignment="1">
      <alignment/>
    </xf>
    <xf numFmtId="167" fontId="8" fillId="0" borderId="3" xfId="17" applyNumberFormat="1" applyFont="1" applyFill="1" applyBorder="1" applyAlignment="1">
      <alignment/>
    </xf>
    <xf numFmtId="39" fontId="9" fillId="0" borderId="0" xfId="0" applyFont="1" applyAlignment="1">
      <alignment horizontal="left"/>
    </xf>
    <xf numFmtId="0" fontId="9" fillId="0" borderId="1" xfId="0" applyNumberFormat="1" applyFont="1" applyBorder="1" applyAlignment="1" quotePrefix="1">
      <alignment horizontal="center" wrapText="1"/>
    </xf>
    <xf numFmtId="39" fontId="9" fillId="0" borderId="0" xfId="0" applyFont="1" applyAlignment="1" quotePrefix="1">
      <alignment horizontal="center"/>
    </xf>
    <xf numFmtId="39" fontId="11" fillId="0" borderId="0" xfId="0" applyFont="1" applyAlignment="1">
      <alignment horizontal="left"/>
    </xf>
    <xf numFmtId="37" fontId="8" fillId="0" borderId="0" xfId="0" applyNumberFormat="1" applyFont="1" applyBorder="1" applyAlignment="1">
      <alignment/>
    </xf>
    <xf numFmtId="9" fontId="8" fillId="0" borderId="0" xfId="26" applyFont="1" applyFill="1" applyAlignment="1">
      <alignment horizontal="right"/>
    </xf>
    <xf numFmtId="0" fontId="8" fillId="0" borderId="0" xfId="0" applyNumberFormat="1" applyFont="1" applyBorder="1" applyAlignment="1">
      <alignment wrapText="1"/>
    </xf>
    <xf numFmtId="41" fontId="8" fillId="0" borderId="0" xfId="0" applyNumberFormat="1" applyFont="1" applyFill="1" applyBorder="1" applyAlignment="1">
      <alignment/>
    </xf>
    <xf numFmtId="9" fontId="8" fillId="0" borderId="3" xfId="26" applyFont="1" applyFill="1" applyBorder="1" applyAlignment="1">
      <alignment/>
    </xf>
    <xf numFmtId="39" fontId="8" fillId="0" borderId="0" xfId="0" applyFont="1" applyAlignment="1">
      <alignment/>
    </xf>
    <xf numFmtId="0" fontId="9" fillId="0" borderId="0" xfId="23" applyNumberFormat="1" applyFont="1" applyBorder="1" applyAlignment="1">
      <alignment/>
      <protection/>
    </xf>
    <xf numFmtId="0" fontId="8" fillId="0" borderId="0" xfId="23" applyNumberFormat="1" applyFont="1" applyBorder="1" applyAlignment="1">
      <alignment/>
      <protection/>
    </xf>
    <xf numFmtId="0" fontId="33" fillId="0" borderId="0" xfId="0" applyNumberFormat="1" applyFont="1" applyBorder="1" applyAlignment="1">
      <alignment horizontal="left" wrapText="1"/>
    </xf>
    <xf numFmtId="39" fontId="9" fillId="0" borderId="0" xfId="0" applyFont="1" applyAlignment="1">
      <alignment/>
    </xf>
    <xf numFmtId="167" fontId="8" fillId="0" borderId="0" xfId="17" applyNumberFormat="1" applyFont="1" applyBorder="1" applyAlignment="1">
      <alignment/>
    </xf>
    <xf numFmtId="9" fontId="8" fillId="0" borderId="0" xfId="26" applyFont="1" applyAlignment="1">
      <alignment/>
    </xf>
    <xf numFmtId="41" fontId="8" fillId="0" borderId="0" xfId="23" applyNumberFormat="1" applyFont="1" applyFill="1" applyBorder="1" applyAlignment="1">
      <alignment/>
      <protection/>
    </xf>
    <xf numFmtId="167" fontId="8" fillId="0" borderId="3" xfId="17" applyNumberFormat="1" applyFont="1" applyFill="1" applyBorder="1" applyAlignment="1">
      <alignment/>
    </xf>
    <xf numFmtId="167" fontId="8" fillId="0" borderId="0" xfId="17" applyNumberFormat="1" applyFont="1" applyFill="1" applyBorder="1" applyAlignment="1">
      <alignment/>
    </xf>
    <xf numFmtId="167" fontId="8" fillId="0" borderId="0" xfId="17" applyNumberFormat="1" applyFont="1" applyFill="1" applyBorder="1" applyAlignment="1">
      <alignment/>
    </xf>
    <xf numFmtId="0" fontId="20" fillId="0" borderId="0" xfId="0" applyNumberFormat="1" applyFont="1" applyAlignment="1" applyProtection="1">
      <alignment/>
      <protection/>
    </xf>
    <xf numFmtId="0" fontId="20" fillId="0" borderId="0" xfId="0" applyNumberFormat="1" applyFont="1" applyAlignment="1" applyProtection="1" quotePrefix="1">
      <alignment vertical="top"/>
      <protection/>
    </xf>
    <xf numFmtId="39" fontId="31" fillId="0" borderId="0" xfId="0" applyFont="1" applyAlignment="1">
      <alignment horizontal="left" vertical="top" wrapText="1"/>
    </xf>
    <xf numFmtId="168" fontId="8" fillId="0" borderId="0" xfId="15" applyNumberFormat="1" applyFont="1" applyFill="1" applyBorder="1" applyAlignment="1">
      <alignment/>
    </xf>
    <xf numFmtId="39" fontId="8" fillId="0" borderId="0" xfId="0" applyFont="1" applyBorder="1" applyAlignment="1">
      <alignment horizontal="left"/>
    </xf>
    <xf numFmtId="39" fontId="8" fillId="0" borderId="0" xfId="0" applyFont="1" applyBorder="1" applyAlignment="1">
      <alignment/>
    </xf>
    <xf numFmtId="169" fontId="9" fillId="0" borderId="0" xfId="0" applyNumberFormat="1" applyFont="1" applyBorder="1" applyAlignment="1" quotePrefix="1">
      <alignment horizontal="center"/>
    </xf>
    <xf numFmtId="4" fontId="9" fillId="0" borderId="0" xfId="0" applyNumberFormat="1" applyFont="1" applyAlignment="1" applyProtection="1">
      <alignment/>
      <protection/>
    </xf>
    <xf numFmtId="37" fontId="11" fillId="0" borderId="0" xfId="0" applyNumberFormat="1" applyFont="1" applyFill="1" applyBorder="1" applyAlignment="1">
      <alignment horizontal="left"/>
    </xf>
    <xf numFmtId="168" fontId="8" fillId="0" borderId="0" xfId="15" applyNumberFormat="1" applyFont="1" applyFill="1" applyAlignment="1">
      <alignment/>
    </xf>
    <xf numFmtId="39" fontId="8" fillId="0" borderId="0" xfId="0" applyFont="1" applyBorder="1" applyAlignment="1">
      <alignment vertical="top"/>
    </xf>
    <xf numFmtId="39" fontId="9" fillId="0" borderId="0" xfId="0" applyFont="1" applyFill="1" applyAlignment="1">
      <alignment/>
    </xf>
    <xf numFmtId="37" fontId="8" fillId="0" borderId="1" xfId="0" applyNumberFormat="1" applyFont="1" applyFill="1" applyBorder="1" applyAlignment="1">
      <alignment/>
    </xf>
    <xf numFmtId="166" fontId="9" fillId="0" borderId="0" xfId="26" applyNumberFormat="1" applyFont="1" applyFill="1" applyBorder="1" applyAlignment="1">
      <alignment/>
    </xf>
    <xf numFmtId="168" fontId="8" fillId="0" borderId="1" xfId="15" applyNumberFormat="1" applyFont="1" applyFill="1" applyBorder="1" applyAlignment="1">
      <alignment/>
    </xf>
    <xf numFmtId="9" fontId="8" fillId="0" borderId="0" xfId="26" applyNumberFormat="1" applyFont="1" applyFill="1" applyAlignment="1">
      <alignment/>
    </xf>
    <xf numFmtId="42" fontId="8" fillId="0" borderId="0" xfId="15" applyNumberFormat="1" applyFont="1" applyFill="1" applyBorder="1" applyAlignment="1">
      <alignment/>
    </xf>
    <xf numFmtId="39" fontId="35" fillId="0" borderId="0" xfId="0" applyFont="1" applyAlignment="1">
      <alignment/>
    </xf>
    <xf numFmtId="0" fontId="8" fillId="0" borderId="0" xfId="0" applyNumberFormat="1" applyFont="1" applyFill="1" applyAlignment="1" applyProtection="1">
      <alignment/>
      <protection/>
    </xf>
    <xf numFmtId="168" fontId="34" fillId="0" borderId="0" xfId="15" applyNumberFormat="1" applyFont="1" applyFill="1" applyAlignment="1" applyProtection="1">
      <alignment/>
      <protection/>
    </xf>
    <xf numFmtId="0" fontId="34" fillId="0" borderId="0" xfId="0" applyNumberFormat="1" applyFont="1" applyFill="1" applyAlignment="1" applyProtection="1">
      <alignment/>
      <protection/>
    </xf>
    <xf numFmtId="0" fontId="29" fillId="0" borderId="1" xfId="0" applyNumberFormat="1" applyFont="1" applyBorder="1" applyAlignment="1" applyProtection="1">
      <alignment/>
      <protection/>
    </xf>
    <xf numFmtId="178" fontId="29" fillId="0" borderId="1" xfId="0" applyNumberFormat="1" applyFont="1" applyBorder="1" applyAlignment="1" applyProtection="1">
      <alignment/>
      <protection/>
    </xf>
    <xf numFmtId="39" fontId="29" fillId="0" borderId="0" xfId="0" applyFont="1" applyAlignment="1">
      <alignment/>
    </xf>
    <xf numFmtId="167" fontId="29" fillId="0" borderId="3" xfId="17" applyNumberFormat="1" applyFont="1" applyBorder="1" applyAlignment="1" applyProtection="1">
      <alignment/>
      <protection/>
    </xf>
    <xf numFmtId="9" fontId="8" fillId="0" borderId="0" xfId="17" applyNumberFormat="1" applyFont="1" applyBorder="1" applyAlignment="1">
      <alignment/>
    </xf>
    <xf numFmtId="9" fontId="8" fillId="0" borderId="0" xfId="26" applyNumberFormat="1" applyFont="1" applyFill="1" applyAlignment="1">
      <alignment/>
    </xf>
    <xf numFmtId="9" fontId="8" fillId="0" borderId="0" xfId="26" applyNumberFormat="1" applyFont="1" applyFill="1" applyBorder="1" applyAlignment="1">
      <alignment/>
    </xf>
    <xf numFmtId="9" fontId="8" fillId="0" borderId="3" xfId="26" applyNumberFormat="1" applyFont="1" applyFill="1" applyBorder="1" applyAlignment="1">
      <alignment/>
    </xf>
    <xf numFmtId="9" fontId="8" fillId="0" borderId="3" xfId="26" applyNumberFormat="1" applyFont="1" applyFill="1" applyBorder="1" applyAlignment="1">
      <alignment/>
    </xf>
    <xf numFmtId="37" fontId="36" fillId="0" borderId="0" xfId="0" applyNumberFormat="1" applyFont="1" applyFill="1" applyBorder="1" applyAlignment="1">
      <alignment horizontal="left"/>
    </xf>
    <xf numFmtId="9" fontId="8" fillId="0" borderId="4" xfId="26" applyNumberFormat="1" applyFont="1" applyFill="1" applyBorder="1" applyAlignment="1">
      <alignment/>
    </xf>
    <xf numFmtId="39" fontId="20" fillId="0" borderId="0" xfId="0" applyFont="1" applyFill="1" applyAlignment="1">
      <alignment horizontal="left" vertical="top"/>
    </xf>
    <xf numFmtId="39" fontId="16" fillId="0" borderId="0" xfId="0" applyFont="1" applyFill="1" applyAlignment="1">
      <alignment/>
    </xf>
    <xf numFmtId="39" fontId="37" fillId="0" borderId="0" xfId="0" applyFont="1" applyAlignment="1">
      <alignment/>
    </xf>
    <xf numFmtId="167" fontId="8" fillId="0" borderId="0" xfId="17" applyNumberFormat="1" applyFont="1" applyFill="1" applyBorder="1" applyAlignment="1">
      <alignment/>
    </xf>
    <xf numFmtId="41" fontId="8" fillId="0" borderId="1" xfId="0" applyNumberFormat="1" applyFont="1" applyFill="1" applyBorder="1" applyAlignment="1">
      <alignment/>
    </xf>
    <xf numFmtId="42" fontId="8" fillId="0" borderId="0" xfId="0" applyNumberFormat="1" applyFont="1" applyFill="1" applyBorder="1" applyAlignment="1">
      <alignment/>
    </xf>
    <xf numFmtId="37" fontId="8" fillId="0" borderId="0" xfId="0" applyNumberFormat="1" applyFont="1" applyFill="1" applyBorder="1" applyAlignment="1">
      <alignment/>
    </xf>
    <xf numFmtId="42" fontId="8" fillId="0" borderId="3" xfId="0" applyNumberFormat="1" applyFont="1" applyFill="1" applyBorder="1" applyAlignment="1">
      <alignment/>
    </xf>
    <xf numFmtId="39" fontId="9" fillId="0" borderId="0" xfId="0" applyFont="1" applyFill="1" applyAlignment="1">
      <alignment horizontal="center"/>
    </xf>
    <xf numFmtId="168" fontId="8" fillId="0" borderId="1" xfId="15" applyNumberFormat="1" applyFont="1" applyFill="1" applyBorder="1" applyAlignment="1">
      <alignment/>
    </xf>
    <xf numFmtId="168" fontId="8" fillId="0" borderId="0" xfId="15" applyNumberFormat="1" applyFont="1" applyFill="1" applyAlignment="1">
      <alignment/>
    </xf>
    <xf numFmtId="39" fontId="0" fillId="0" borderId="0" xfId="0" applyFill="1" applyAlignment="1">
      <alignment/>
    </xf>
    <xf numFmtId="168" fontId="8" fillId="0" borderId="2" xfId="15" applyNumberFormat="1" applyFont="1" applyFill="1" applyBorder="1" applyAlignment="1">
      <alignment/>
    </xf>
    <xf numFmtId="168" fontId="8" fillId="0" borderId="2" xfId="15" applyNumberFormat="1" applyFont="1" applyFill="1" applyBorder="1" applyAlignment="1">
      <alignment/>
    </xf>
    <xf numFmtId="39" fontId="20" fillId="0" borderId="0" xfId="0" applyFont="1" applyAlignment="1">
      <alignment/>
    </xf>
    <xf numFmtId="39" fontId="10" fillId="0" borderId="0" xfId="0" applyFont="1" applyFill="1" applyAlignment="1">
      <alignment horizontal="centerContinuous"/>
    </xf>
    <xf numFmtId="39" fontId="8" fillId="0" borderId="0" xfId="0" applyFont="1" applyAlignment="1" quotePrefix="1">
      <alignment/>
    </xf>
    <xf numFmtId="167" fontId="8" fillId="0" borderId="0" xfId="0" applyNumberFormat="1" applyFont="1" applyAlignment="1" applyProtection="1">
      <alignment/>
      <protection/>
    </xf>
    <xf numFmtId="37" fontId="8" fillId="0" borderId="4" xfId="0" applyNumberFormat="1" applyFont="1" applyBorder="1" applyAlignment="1">
      <alignment/>
    </xf>
    <xf numFmtId="42" fontId="33" fillId="0" borderId="0" xfId="15" applyNumberFormat="1" applyFont="1" applyFill="1" applyBorder="1" applyAlignment="1">
      <alignment/>
    </xf>
    <xf numFmtId="9" fontId="33" fillId="0" borderId="0" xfId="15" applyNumberFormat="1" applyFont="1" applyFill="1" applyBorder="1" applyAlignment="1">
      <alignment/>
    </xf>
    <xf numFmtId="39" fontId="8" fillId="0" borderId="0" xfId="0" applyFont="1" applyFill="1" applyBorder="1" applyAlignment="1">
      <alignment/>
    </xf>
    <xf numFmtId="39" fontId="8" fillId="0" borderId="0" xfId="0" applyFont="1" applyFill="1" applyBorder="1" applyAlignment="1">
      <alignment horizontal="right"/>
    </xf>
    <xf numFmtId="39" fontId="20" fillId="0" borderId="0" xfId="0" applyFont="1" applyAlignment="1">
      <alignment/>
    </xf>
    <xf numFmtId="39" fontId="9" fillId="0" borderId="0" xfId="0" applyFont="1" applyBorder="1" applyAlignment="1" quotePrefix="1">
      <alignment horizontal="center"/>
    </xf>
    <xf numFmtId="39" fontId="9" fillId="0" borderId="1" xfId="0" applyFont="1" applyBorder="1" applyAlignment="1" quotePrefix="1">
      <alignment horizontal="center"/>
    </xf>
    <xf numFmtId="171" fontId="9" fillId="0" borderId="0" xfId="15" applyNumberFormat="1" applyFont="1" applyBorder="1" applyAlignment="1" quotePrefix="1">
      <alignment horizontal="center"/>
    </xf>
    <xf numFmtId="168" fontId="8" fillId="0" borderId="0" xfId="17" applyNumberFormat="1" applyFont="1" applyAlignment="1">
      <alignment/>
    </xf>
    <xf numFmtId="41" fontId="8" fillId="0" borderId="4" xfId="15" applyNumberFormat="1" applyFont="1" applyFill="1" applyBorder="1" applyAlignment="1">
      <alignment/>
    </xf>
    <xf numFmtId="168" fontId="8" fillId="0" borderId="0" xfId="15" applyNumberFormat="1" applyFont="1" applyFill="1" applyAlignment="1">
      <alignment horizontal="left" vertical="top" wrapText="1" indent="1"/>
    </xf>
    <xf numFmtId="168" fontId="9" fillId="0" borderId="2" xfId="15" applyNumberFormat="1" applyFont="1" applyFill="1" applyBorder="1" applyAlignment="1">
      <alignment/>
    </xf>
    <xf numFmtId="37" fontId="29" fillId="0" borderId="0" xfId="0" applyNumberFormat="1" applyFont="1" applyAlignment="1">
      <alignment/>
    </xf>
    <xf numFmtId="9" fontId="8" fillId="0" borderId="3" xfId="26" applyNumberFormat="1" applyFont="1" applyFill="1" applyBorder="1" applyAlignment="1">
      <alignment/>
    </xf>
    <xf numFmtId="0" fontId="7" fillId="0" borderId="0" xfId="23" applyNumberFormat="1" applyFont="1" applyFill="1" applyAlignment="1">
      <alignment horizontal="center" vertical="center"/>
      <protection/>
    </xf>
    <xf numFmtId="0" fontId="10" fillId="0" borderId="0" xfId="23" applyNumberFormat="1" applyFont="1" applyFill="1" applyAlignment="1">
      <alignment horizontal="center" vertical="center"/>
      <protection/>
    </xf>
    <xf numFmtId="0" fontId="9" fillId="0" borderId="0" xfId="23" applyNumberFormat="1" applyFont="1" applyFill="1" applyAlignment="1">
      <alignment horizontal="center" vertical="center"/>
      <protection/>
    </xf>
    <xf numFmtId="39" fontId="8" fillId="0" borderId="0" xfId="0" applyFont="1" applyAlignment="1">
      <alignment horizontal="centerContinuous" vertical="center"/>
    </xf>
    <xf numFmtId="0" fontId="8" fillId="0" borderId="0" xfId="0" applyNumberFormat="1" applyFont="1" applyAlignment="1" applyProtection="1">
      <alignment horizontal="centerContinuous"/>
      <protection/>
    </xf>
    <xf numFmtId="39" fontId="11" fillId="0" borderId="0" xfId="0" applyFont="1" applyAlignment="1">
      <alignment horizontal="left" vertical="center"/>
    </xf>
    <xf numFmtId="39" fontId="38" fillId="0" borderId="0" xfId="0" applyFont="1" applyAlignment="1">
      <alignment vertical="center"/>
    </xf>
    <xf numFmtId="167" fontId="8" fillId="0" borderId="0" xfId="17" applyNumberFormat="1" applyFont="1" applyBorder="1" applyAlignment="1" applyProtection="1">
      <alignment/>
      <protection/>
    </xf>
    <xf numFmtId="42" fontId="8" fillId="0" borderId="0" xfId="23" applyNumberFormat="1" applyFont="1" applyFill="1" applyAlignment="1">
      <alignment horizontal="right"/>
      <protection/>
    </xf>
    <xf numFmtId="41" fontId="8" fillId="0" borderId="0" xfId="0" applyNumberFormat="1" applyFont="1" applyFill="1" applyAlignment="1">
      <alignment horizontal="right"/>
    </xf>
    <xf numFmtId="42" fontId="9" fillId="0" borderId="0" xfId="0" applyNumberFormat="1" applyFont="1" applyBorder="1" applyAlignment="1">
      <alignment horizontal="right"/>
    </xf>
    <xf numFmtId="166" fontId="9" fillId="0" borderId="0" xfId="26" applyNumberFormat="1" applyFont="1" applyBorder="1" applyAlignment="1">
      <alignment horizontal="center"/>
    </xf>
    <xf numFmtId="168" fontId="8" fillId="0" borderId="0" xfId="0" applyNumberFormat="1" applyFont="1" applyBorder="1" applyAlignment="1" applyProtection="1">
      <alignment/>
      <protection/>
    </xf>
    <xf numFmtId="39" fontId="14" fillId="0" borderId="0" xfId="0" applyFont="1" applyBorder="1" applyAlignment="1">
      <alignment horizontal="left"/>
    </xf>
    <xf numFmtId="39" fontId="8" fillId="0" borderId="0" xfId="0" applyFont="1" applyFill="1" applyBorder="1" applyAlignment="1">
      <alignment horizontal="left"/>
    </xf>
    <xf numFmtId="39" fontId="8" fillId="0" borderId="0" xfId="0" applyFont="1" applyBorder="1" applyAlignment="1">
      <alignment horizontal="left"/>
    </xf>
    <xf numFmtId="39" fontId="20" fillId="0" borderId="0" xfId="0" applyFont="1" applyAlignment="1" quotePrefix="1">
      <alignment horizontal="left" wrapText="1"/>
    </xf>
    <xf numFmtId="39" fontId="9" fillId="0" borderId="0" xfId="0" applyFont="1" applyFill="1" applyBorder="1" applyAlignment="1">
      <alignment horizontal="centerContinuous"/>
    </xf>
    <xf numFmtId="0" fontId="14" fillId="0" borderId="0" xfId="0" applyNumberFormat="1" applyFont="1" applyFill="1" applyBorder="1" applyAlignment="1" applyProtection="1">
      <alignment/>
      <protection/>
    </xf>
    <xf numFmtId="39" fontId="11" fillId="0" borderId="0" xfId="0" applyFont="1" applyFill="1" applyAlignment="1">
      <alignment/>
    </xf>
    <xf numFmtId="39" fontId="11" fillId="0" borderId="0" xfId="0" applyFont="1" applyFill="1" applyAlignment="1">
      <alignment/>
    </xf>
    <xf numFmtId="0" fontId="14" fillId="0" borderId="0" xfId="0" applyNumberFormat="1" applyFont="1" applyFill="1" applyAlignment="1" applyProtection="1">
      <alignment/>
      <protection/>
    </xf>
    <xf numFmtId="39" fontId="9" fillId="0" borderId="0" xfId="0" applyFont="1" applyFill="1" applyAlignment="1">
      <alignment/>
    </xf>
    <xf numFmtId="39" fontId="9" fillId="0" borderId="1" xfId="0" applyFont="1" applyFill="1" applyBorder="1" applyAlignment="1">
      <alignment horizontal="center" vertical="center" wrapText="1"/>
    </xf>
    <xf numFmtId="39" fontId="9" fillId="0" borderId="1" xfId="0" applyFont="1" applyFill="1" applyBorder="1" applyAlignment="1">
      <alignment horizontal="center" vertical="center"/>
    </xf>
    <xf numFmtId="39" fontId="9" fillId="0" borderId="1" xfId="0" applyFont="1" applyFill="1" applyBorder="1" applyAlignment="1">
      <alignment horizontal="center" wrapText="1"/>
    </xf>
    <xf numFmtId="39" fontId="0" fillId="0" borderId="0" xfId="0" applyBorder="1" applyAlignment="1">
      <alignment/>
    </xf>
    <xf numFmtId="42" fontId="8" fillId="0" borderId="0" xfId="0" applyNumberFormat="1" applyFont="1" applyBorder="1" applyAlignment="1">
      <alignment/>
    </xf>
    <xf numFmtId="42" fontId="9" fillId="0" borderId="0" xfId="17" applyNumberFormat="1" applyFont="1" applyFill="1" applyBorder="1" applyAlignment="1">
      <alignment/>
    </xf>
    <xf numFmtId="42" fontId="0" fillId="0" borderId="0" xfId="0" applyNumberFormat="1" applyBorder="1" applyAlignment="1">
      <alignment/>
    </xf>
    <xf numFmtId="167" fontId="8" fillId="0" borderId="0" xfId="17" applyNumberFormat="1" applyFont="1" applyFill="1" applyBorder="1" applyAlignment="1" quotePrefix="1">
      <alignment horizontal="center"/>
    </xf>
    <xf numFmtId="42" fontId="8" fillId="0" borderId="0" xfId="17" applyNumberFormat="1" applyFont="1" applyFill="1" applyBorder="1" applyAlignment="1">
      <alignment/>
    </xf>
    <xf numFmtId="42" fontId="14" fillId="0" borderId="0" xfId="17" applyNumberFormat="1" applyFont="1" applyFill="1" applyBorder="1" applyAlignment="1">
      <alignment/>
    </xf>
    <xf numFmtId="42" fontId="14" fillId="0" borderId="0" xfId="17" applyNumberFormat="1" applyFont="1" applyFill="1" applyBorder="1" applyAlignment="1">
      <alignment/>
    </xf>
    <xf numFmtId="166" fontId="8" fillId="0" borderId="0" xfId="0" applyNumberFormat="1" applyFont="1" applyBorder="1" applyAlignment="1" applyProtection="1">
      <alignment/>
      <protection/>
    </xf>
    <xf numFmtId="166" fontId="8" fillId="0" borderId="0" xfId="17" applyNumberFormat="1" applyFont="1" applyFill="1" applyBorder="1" applyAlignment="1" quotePrefix="1">
      <alignment horizontal="center"/>
    </xf>
    <xf numFmtId="166" fontId="8" fillId="0" borderId="0" xfId="0" applyNumberFormat="1" applyFont="1" applyAlignment="1" applyProtection="1">
      <alignment/>
      <protection/>
    </xf>
    <xf numFmtId="39" fontId="8" fillId="0" borderId="0" xfId="0" applyFont="1" applyFill="1" applyAlignment="1">
      <alignment horizontal="left" indent="1"/>
    </xf>
    <xf numFmtId="39" fontId="0" fillId="0" borderId="0" xfId="0" applyFill="1" applyBorder="1" applyAlignment="1">
      <alignment/>
    </xf>
    <xf numFmtId="42" fontId="8" fillId="0" borderId="3" xfId="0" applyNumberFormat="1" applyFont="1" applyBorder="1" applyAlignment="1">
      <alignment/>
    </xf>
    <xf numFmtId="42" fontId="9" fillId="0" borderId="3" xfId="17" applyNumberFormat="1" applyFont="1" applyFill="1" applyBorder="1" applyAlignment="1">
      <alignment/>
    </xf>
    <xf numFmtId="42" fontId="0" fillId="0" borderId="3" xfId="0" applyNumberFormat="1" applyBorder="1" applyAlignment="1">
      <alignment/>
    </xf>
    <xf numFmtId="39" fontId="0" fillId="0" borderId="0" xfId="0" applyAlignment="1">
      <alignment horizontal="left" wrapText="1"/>
    </xf>
    <xf numFmtId="39" fontId="19" fillId="0" borderId="0" xfId="0" applyFont="1" applyFill="1" applyAlignment="1">
      <alignment horizontal="left" wrapText="1"/>
    </xf>
    <xf numFmtId="39" fontId="20" fillId="0" borderId="0" xfId="0" applyFont="1" applyAlignment="1">
      <alignment wrapText="1"/>
    </xf>
    <xf numFmtId="39" fontId="19" fillId="0" borderId="0" xfId="0" applyFont="1" applyFill="1" applyAlignment="1">
      <alignment horizontal="left" vertical="top" wrapText="1"/>
    </xf>
    <xf numFmtId="39" fontId="20" fillId="0" borderId="0" xfId="0" applyFont="1" applyAlignment="1">
      <alignment vertical="top" wrapText="1"/>
    </xf>
    <xf numFmtId="39" fontId="8" fillId="0" borderId="0" xfId="0" applyFont="1" applyAlignment="1">
      <alignment horizontal="left" indent="3"/>
    </xf>
    <xf numFmtId="9" fontId="8" fillId="0" borderId="0" xfId="0" applyNumberFormat="1" applyFont="1" applyAlignment="1">
      <alignment/>
    </xf>
    <xf numFmtId="16" fontId="9" fillId="0" borderId="0" xfId="0" applyNumberFormat="1" applyFont="1" applyBorder="1" applyAlignment="1" applyProtection="1" quotePrefix="1">
      <alignment horizontal="center"/>
      <protection/>
    </xf>
    <xf numFmtId="0" fontId="22" fillId="0" borderId="0" xfId="0" applyNumberFormat="1" applyFont="1" applyBorder="1" applyAlignment="1" applyProtection="1">
      <alignment horizontal="center"/>
      <protection/>
    </xf>
    <xf numFmtId="168" fontId="8" fillId="0" borderId="0" xfId="15" applyNumberFormat="1" applyFont="1" applyFill="1" applyBorder="1" applyAlignment="1" applyProtection="1">
      <alignment/>
      <protection/>
    </xf>
    <xf numFmtId="9" fontId="8" fillId="0" borderId="0" xfId="26" applyFont="1" applyBorder="1" applyAlignment="1">
      <alignment/>
    </xf>
    <xf numFmtId="39" fontId="9" fillId="0" borderId="0" xfId="0" applyFont="1" applyBorder="1" applyAlignment="1">
      <alignment/>
    </xf>
    <xf numFmtId="39" fontId="9" fillId="0" borderId="0" xfId="0" applyFont="1" applyFill="1" applyBorder="1" applyAlignment="1">
      <alignment/>
    </xf>
    <xf numFmtId="9" fontId="8" fillId="0" borderId="0" xfId="26" applyFont="1" applyFill="1" applyBorder="1" applyAlignment="1">
      <alignment/>
    </xf>
    <xf numFmtId="166" fontId="8" fillId="0" borderId="0" xfId="26" applyNumberFormat="1" applyFont="1" applyFill="1" applyBorder="1" applyAlignment="1">
      <alignment/>
    </xf>
    <xf numFmtId="37" fontId="13" fillId="0" borderId="0" xfId="0" applyNumberFormat="1" applyFont="1" applyFill="1" applyBorder="1" applyAlignment="1">
      <alignment/>
    </xf>
    <xf numFmtId="39" fontId="8" fillId="0" borderId="2" xfId="0" applyFont="1" applyBorder="1" applyAlignment="1" quotePrefix="1">
      <alignment/>
    </xf>
    <xf numFmtId="39" fontId="9" fillId="0" borderId="0" xfId="0" applyFont="1" applyBorder="1" applyAlignment="1" quotePrefix="1">
      <alignment horizontal="center"/>
    </xf>
    <xf numFmtId="168" fontId="8" fillId="0" borderId="1" xfId="15" applyNumberFormat="1" applyFont="1" applyFill="1" applyBorder="1" applyAlignment="1">
      <alignment/>
    </xf>
    <xf numFmtId="168" fontId="8" fillId="0" borderId="0" xfId="15" applyNumberFormat="1" applyFont="1" applyFill="1" applyBorder="1" applyAlignment="1">
      <alignment/>
    </xf>
    <xf numFmtId="10" fontId="8" fillId="0" borderId="0" xfId="26" applyNumberFormat="1" applyFont="1" applyAlignment="1">
      <alignment/>
    </xf>
    <xf numFmtId="172" fontId="8" fillId="0" borderId="0" xfId="0" applyNumberFormat="1" applyFont="1" applyAlignment="1">
      <alignment/>
    </xf>
    <xf numFmtId="42" fontId="8" fillId="0" borderId="0" xfId="17" applyNumberFormat="1" applyFont="1" applyAlignment="1">
      <alignment horizontal="center"/>
    </xf>
    <xf numFmtId="0" fontId="7" fillId="0" borderId="0" xfId="0" applyNumberFormat="1" applyFont="1" applyAlignment="1" applyProtection="1">
      <alignment/>
      <protection/>
    </xf>
    <xf numFmtId="39" fontId="7" fillId="0" borderId="0" xfId="0" applyFont="1" applyAlignment="1">
      <alignment/>
    </xf>
    <xf numFmtId="39" fontId="10" fillId="0" borderId="0" xfId="0" applyFont="1" applyAlignment="1">
      <alignment/>
    </xf>
    <xf numFmtId="0" fontId="7" fillId="0" borderId="0" xfId="23" applyNumberFormat="1" applyFont="1" applyFill="1" applyAlignment="1">
      <alignment vertical="center"/>
      <protection/>
    </xf>
    <xf numFmtId="39" fontId="7" fillId="0" borderId="0" xfId="0" applyFont="1" applyAlignment="1">
      <alignment wrapText="1"/>
    </xf>
    <xf numFmtId="0" fontId="9" fillId="0" borderId="0" xfId="23" applyNumberFormat="1" applyFont="1" applyFill="1" applyAlignment="1">
      <alignment vertical="center"/>
      <protection/>
    </xf>
    <xf numFmtId="0" fontId="10" fillId="0" borderId="0" xfId="23" applyNumberFormat="1" applyFont="1" applyFill="1" applyAlignment="1">
      <alignment vertical="center"/>
      <protection/>
    </xf>
    <xf numFmtId="39" fontId="10" fillId="0" borderId="0" xfId="0" applyFont="1" applyAlignment="1">
      <alignment wrapText="1"/>
    </xf>
    <xf numFmtId="39" fontId="20" fillId="0" borderId="0" xfId="0" applyNumberFormat="1" applyFont="1" applyFill="1" applyAlignment="1" applyProtection="1">
      <alignment/>
      <protection/>
    </xf>
    <xf numFmtId="41" fontId="8" fillId="0" borderId="0" xfId="0" applyNumberFormat="1" applyFont="1" applyFill="1" applyBorder="1" applyAlignment="1">
      <alignment/>
    </xf>
    <xf numFmtId="0" fontId="9" fillId="0" borderId="0" xfId="0" applyNumberFormat="1" applyFont="1" applyFill="1" applyAlignment="1" applyProtection="1">
      <alignment/>
      <protection/>
    </xf>
    <xf numFmtId="168" fontId="8" fillId="0" borderId="0" xfId="15" applyNumberFormat="1" applyFont="1" applyFill="1" applyBorder="1" applyAlignment="1">
      <alignment/>
    </xf>
    <xf numFmtId="0" fontId="8" fillId="0" borderId="0" xfId="23" applyFont="1" applyFill="1" applyAlignment="1">
      <alignment/>
      <protection/>
    </xf>
    <xf numFmtId="167" fontId="8" fillId="0" borderId="0" xfId="17" applyNumberFormat="1" applyFont="1" applyAlignment="1" applyProtection="1">
      <alignment/>
      <protection/>
    </xf>
    <xf numFmtId="39" fontId="8" fillId="0" borderId="0" xfId="0" applyFont="1" applyFill="1" applyAlignment="1">
      <alignment/>
    </xf>
    <xf numFmtId="167" fontId="8" fillId="0" borderId="0" xfId="17" applyNumberFormat="1" applyFont="1" applyFill="1" applyAlignment="1">
      <alignment/>
    </xf>
    <xf numFmtId="37" fontId="8" fillId="0" borderId="0" xfId="0" applyNumberFormat="1" applyFont="1" applyFill="1" applyBorder="1" applyAlignment="1">
      <alignment/>
    </xf>
    <xf numFmtId="39" fontId="8" fillId="0" borderId="0" xfId="0" applyFont="1" applyFill="1" applyAlignment="1">
      <alignment/>
    </xf>
    <xf numFmtId="39" fontId="9" fillId="0" borderId="0" xfId="0" applyFont="1" applyFill="1" applyAlignment="1">
      <alignment horizontal="left"/>
    </xf>
    <xf numFmtId="37" fontId="8" fillId="0" borderId="0" xfId="0" applyNumberFormat="1" applyFont="1" applyAlignment="1" applyProtection="1">
      <alignment/>
      <protection/>
    </xf>
    <xf numFmtId="44" fontId="33" fillId="0" borderId="0" xfId="23" applyNumberFormat="1" applyFont="1" applyFill="1" applyBorder="1" applyAlignment="1">
      <alignment/>
      <protection/>
    </xf>
    <xf numFmtId="42" fontId="8" fillId="0" borderId="0" xfId="15" applyNumberFormat="1" applyFont="1" applyFill="1" applyBorder="1" applyAlignment="1">
      <alignment/>
    </xf>
    <xf numFmtId="37" fontId="8" fillId="0" borderId="0" xfId="0" applyNumberFormat="1" applyFont="1" applyFill="1" applyBorder="1" applyAlignment="1">
      <alignment/>
    </xf>
    <xf numFmtId="37" fontId="8" fillId="0" borderId="0" xfId="0" applyNumberFormat="1" applyFont="1" applyFill="1" applyAlignment="1">
      <alignment/>
    </xf>
    <xf numFmtId="164" fontId="8" fillId="0" borderId="0" xfId="0" applyNumberFormat="1" applyFont="1" applyFill="1" applyBorder="1" applyAlignment="1">
      <alignment/>
    </xf>
    <xf numFmtId="41" fontId="9" fillId="0" borderId="0" xfId="0" applyNumberFormat="1" applyFont="1" applyFill="1" applyBorder="1" applyAlignment="1">
      <alignment/>
    </xf>
    <xf numFmtId="166" fontId="8" fillId="0" borderId="0" xfId="0" applyNumberFormat="1" applyFont="1" applyFill="1" applyAlignment="1">
      <alignment/>
    </xf>
    <xf numFmtId="164" fontId="8" fillId="0" borderId="0" xfId="0" applyNumberFormat="1" applyFont="1" applyFill="1" applyBorder="1" applyAlignment="1">
      <alignment/>
    </xf>
    <xf numFmtId="166" fontId="8" fillId="0" borderId="0" xfId="0" applyNumberFormat="1" applyFont="1" applyFill="1" applyBorder="1" applyAlignment="1">
      <alignment/>
    </xf>
    <xf numFmtId="166" fontId="8" fillId="0" borderId="1" xfId="0" applyNumberFormat="1" applyFont="1" applyFill="1" applyBorder="1" applyAlignment="1">
      <alignment/>
    </xf>
    <xf numFmtId="176" fontId="14" fillId="0" borderId="0" xfId="0" applyNumberFormat="1" applyFont="1" applyAlignment="1" quotePrefix="1">
      <alignment horizontal="left"/>
    </xf>
    <xf numFmtId="9" fontId="8" fillId="0" borderId="0" xfId="26" applyNumberFormat="1" applyFont="1" applyFill="1" applyBorder="1" applyAlignment="1">
      <alignment/>
    </xf>
    <xf numFmtId="39" fontId="14" fillId="0" borderId="0" xfId="0" applyFont="1" applyBorder="1" applyAlignment="1">
      <alignment/>
    </xf>
    <xf numFmtId="166" fontId="8" fillId="0" borderId="2" xfId="26" applyNumberFormat="1" applyFont="1" applyFill="1" applyBorder="1" applyAlignment="1">
      <alignment/>
    </xf>
    <xf numFmtId="166" fontId="8" fillId="0" borderId="0" xfId="17" applyNumberFormat="1" applyFont="1" applyFill="1" applyAlignment="1">
      <alignment/>
    </xf>
    <xf numFmtId="166" fontId="8" fillId="0" borderId="0" xfId="26" applyNumberFormat="1" applyFont="1" applyFill="1" applyAlignment="1">
      <alignment horizontal="right"/>
    </xf>
    <xf numFmtId="37" fontId="8" fillId="0" borderId="0" xfId="0" applyNumberFormat="1" applyFont="1" applyFill="1" applyAlignment="1">
      <alignment/>
    </xf>
    <xf numFmtId="39" fontId="9" fillId="0" borderId="0" xfId="0" applyFont="1" applyFill="1" applyAlignment="1" quotePrefix="1">
      <alignment horizontal="center"/>
    </xf>
    <xf numFmtId="168" fontId="8" fillId="0" borderId="1" xfId="15" applyNumberFormat="1" applyFont="1" applyFill="1" applyBorder="1" applyAlignment="1">
      <alignment horizontal="left" vertical="top" wrapText="1" indent="1"/>
    </xf>
    <xf numFmtId="167" fontId="8" fillId="0" borderId="3" xfId="17" applyNumberFormat="1" applyFont="1" applyFill="1" applyBorder="1" applyAlignment="1">
      <alignment/>
    </xf>
    <xf numFmtId="39" fontId="0" fillId="0" borderId="0" xfId="0" applyFont="1" applyFill="1" applyAlignment="1">
      <alignment/>
    </xf>
    <xf numFmtId="44" fontId="8" fillId="0" borderId="0" xfId="17" applyNumberFormat="1" applyFont="1" applyFill="1" applyAlignment="1">
      <alignment horizontal="left" vertical="top" wrapText="1" indent="1"/>
    </xf>
    <xf numFmtId="37" fontId="15" fillId="0" borderId="0" xfId="0" applyNumberFormat="1" applyFont="1" applyFill="1" applyAlignment="1">
      <alignment/>
    </xf>
    <xf numFmtId="39" fontId="7" fillId="0" borderId="0" xfId="0" applyFont="1" applyFill="1" applyAlignment="1">
      <alignment/>
    </xf>
    <xf numFmtId="0" fontId="8" fillId="0" borderId="0" xfId="23" applyNumberFormat="1" applyFont="1" applyFill="1" applyAlignment="1">
      <alignment/>
      <protection/>
    </xf>
    <xf numFmtId="41" fontId="8" fillId="0" borderId="1" xfId="23" applyNumberFormat="1" applyFont="1" applyFill="1" applyBorder="1" applyAlignment="1">
      <alignment/>
      <protection/>
    </xf>
    <xf numFmtId="41" fontId="8" fillId="0" borderId="3" xfId="23" applyNumberFormat="1" applyFont="1" applyFill="1" applyBorder="1" applyAlignment="1">
      <alignment/>
      <protection/>
    </xf>
    <xf numFmtId="168" fontId="8" fillId="0" borderId="0" xfId="17" applyNumberFormat="1" applyFont="1" applyFill="1" applyBorder="1" applyAlignment="1">
      <alignment/>
    </xf>
    <xf numFmtId="41" fontId="8" fillId="0" borderId="0" xfId="17" applyNumberFormat="1" applyFont="1" applyFill="1" applyBorder="1" applyAlignment="1">
      <alignment/>
    </xf>
    <xf numFmtId="173" fontId="8" fillId="0" borderId="0" xfId="0" applyNumberFormat="1" applyFont="1" applyFill="1" applyBorder="1" applyAlignment="1">
      <alignment/>
    </xf>
    <xf numFmtId="168" fontId="8" fillId="0" borderId="1" xfId="15" applyNumberFormat="1" applyFont="1" applyFill="1" applyBorder="1" applyAlignment="1">
      <alignment/>
    </xf>
    <xf numFmtId="168" fontId="9" fillId="0" borderId="0" xfId="15" applyNumberFormat="1" applyFont="1" applyFill="1" applyAlignment="1">
      <alignment/>
    </xf>
    <xf numFmtId="166" fontId="8" fillId="0" borderId="0" xfId="0" applyNumberFormat="1" applyFont="1" applyFill="1" applyBorder="1" applyAlignment="1">
      <alignment horizontal="right"/>
    </xf>
    <xf numFmtId="175" fontId="9" fillId="0" borderId="1" xfId="0" applyNumberFormat="1" applyFont="1" applyFill="1" applyBorder="1" applyAlignment="1">
      <alignment horizontal="center"/>
    </xf>
    <xf numFmtId="39" fontId="9" fillId="0" borderId="4" xfId="0" applyFont="1" applyFill="1" applyBorder="1" applyAlignment="1">
      <alignment horizontal="center"/>
    </xf>
    <xf numFmtId="166" fontId="8" fillId="0" borderId="0" xfId="26" applyNumberFormat="1" applyFont="1" applyFill="1" applyAlignment="1">
      <alignment horizontal="center"/>
    </xf>
    <xf numFmtId="42" fontId="9" fillId="0" borderId="3" xfId="0" applyNumberFormat="1" applyFont="1" applyFill="1" applyBorder="1" applyAlignment="1">
      <alignment horizontal="right"/>
    </xf>
    <xf numFmtId="166" fontId="9" fillId="0" borderId="3" xfId="26" applyNumberFormat="1" applyFont="1" applyFill="1" applyBorder="1" applyAlignment="1">
      <alignment horizontal="center"/>
    </xf>
    <xf numFmtId="39" fontId="8" fillId="0" borderId="1" xfId="0" applyFont="1" applyFill="1" applyBorder="1" applyAlignment="1">
      <alignment/>
    </xf>
    <xf numFmtId="9" fontId="8" fillId="0" borderId="0" xfId="26" applyFont="1" applyFill="1" applyBorder="1" applyAlignment="1">
      <alignment/>
    </xf>
    <xf numFmtId="41" fontId="8" fillId="0" borderId="0" xfId="15" applyNumberFormat="1" applyFont="1" applyFill="1" applyAlignment="1">
      <alignment/>
    </xf>
    <xf numFmtId="41" fontId="8" fillId="0" borderId="0" xfId="15" applyNumberFormat="1" applyFont="1" applyFill="1" applyAlignment="1">
      <alignment/>
    </xf>
    <xf numFmtId="42" fontId="8" fillId="0" borderId="3" xfId="15" applyNumberFormat="1" applyFont="1" applyFill="1" applyBorder="1" applyAlignment="1">
      <alignment/>
    </xf>
    <xf numFmtId="39" fontId="0" fillId="0" borderId="0" xfId="0" applyFill="1" applyBorder="1" applyAlignment="1">
      <alignment/>
    </xf>
    <xf numFmtId="167" fontId="8" fillId="0" borderId="2" xfId="17" applyNumberFormat="1" applyFont="1" applyFill="1" applyBorder="1" applyAlignment="1">
      <alignment/>
    </xf>
    <xf numFmtId="39" fontId="9" fillId="0" borderId="0" xfId="0" applyFont="1" applyFill="1" applyBorder="1" applyAlignment="1">
      <alignment horizontal="center"/>
    </xf>
    <xf numFmtId="39" fontId="0" fillId="0" borderId="0" xfId="0" applyFont="1" applyFill="1" applyBorder="1" applyAlignment="1">
      <alignment/>
    </xf>
    <xf numFmtId="168" fontId="8" fillId="0" borderId="2" xfId="15" applyNumberFormat="1" applyFont="1" applyFill="1" applyBorder="1" applyAlignment="1" applyProtection="1">
      <alignment/>
      <protection/>
    </xf>
    <xf numFmtId="167" fontId="8" fillId="0" borderId="3" xfId="0" applyNumberFormat="1" applyFont="1" applyFill="1" applyBorder="1" applyAlignment="1" applyProtection="1">
      <alignment/>
      <protection/>
    </xf>
    <xf numFmtId="39" fontId="14" fillId="0" borderId="0" xfId="0" applyFont="1" applyFill="1" applyAlignment="1">
      <alignment/>
    </xf>
    <xf numFmtId="39" fontId="14" fillId="0" borderId="0" xfId="0" applyFont="1" applyFill="1" applyBorder="1" applyAlignment="1">
      <alignment/>
    </xf>
    <xf numFmtId="39" fontId="8" fillId="0" borderId="0" xfId="0" applyFont="1" applyFill="1" applyBorder="1" applyAlignment="1">
      <alignment wrapText="1"/>
    </xf>
    <xf numFmtId="168" fontId="8" fillId="0" borderId="4" xfId="15" applyNumberFormat="1" applyFont="1" applyFill="1" applyBorder="1" applyAlignment="1" applyProtection="1">
      <alignment/>
      <protection/>
    </xf>
    <xf numFmtId="4" fontId="14" fillId="0" borderId="0" xfId="0" applyNumberFormat="1" applyFont="1" applyFill="1" applyBorder="1" applyAlignment="1" applyProtection="1">
      <alignment/>
      <protection/>
    </xf>
    <xf numFmtId="168" fontId="8" fillId="0" borderId="4" xfId="15" applyNumberFormat="1" applyFont="1" applyFill="1" applyBorder="1" applyAlignment="1">
      <alignment/>
    </xf>
    <xf numFmtId="168" fontId="8" fillId="0" borderId="4" xfId="15" applyNumberFormat="1" applyFont="1" applyFill="1" applyBorder="1" applyAlignment="1">
      <alignment/>
    </xf>
    <xf numFmtId="0" fontId="9" fillId="0" borderId="0" xfId="0" applyNumberFormat="1" applyFont="1" applyFill="1" applyAlignment="1">
      <alignment horizontal="center"/>
    </xf>
    <xf numFmtId="37" fontId="13" fillId="0" borderId="0" xfId="0" applyNumberFormat="1" applyFont="1" applyFill="1" applyAlignment="1">
      <alignment/>
    </xf>
    <xf numFmtId="9" fontId="33" fillId="0" borderId="0" xfId="26" applyFont="1" applyFill="1" applyAlignment="1">
      <alignment/>
    </xf>
    <xf numFmtId="41" fontId="8" fillId="0" borderId="0" xfId="0" applyNumberFormat="1" applyFont="1" applyFill="1" applyBorder="1" applyAlignment="1">
      <alignment/>
    </xf>
    <xf numFmtId="166" fontId="8" fillId="0" borderId="0" xfId="0" applyNumberFormat="1" applyFont="1" applyFill="1" applyBorder="1" applyAlignment="1">
      <alignment/>
    </xf>
    <xf numFmtId="166" fontId="8" fillId="0" borderId="1" xfId="0" applyNumberFormat="1" applyFont="1" applyFill="1" applyBorder="1" applyAlignment="1">
      <alignment/>
    </xf>
    <xf numFmtId="164" fontId="8" fillId="0" borderId="0" xfId="0" applyNumberFormat="1" applyFont="1" applyFill="1" applyAlignment="1">
      <alignment/>
    </xf>
    <xf numFmtId="49" fontId="13" fillId="0" borderId="0" xfId="0" applyNumberFormat="1" applyFont="1" applyFill="1" applyAlignment="1">
      <alignment horizontal="left"/>
    </xf>
    <xf numFmtId="169" fontId="9" fillId="0" borderId="0" xfId="0" applyNumberFormat="1" applyFont="1" applyAlignment="1" applyProtection="1">
      <alignment horizontal="center"/>
      <protection/>
    </xf>
    <xf numFmtId="41" fontId="8" fillId="0" borderId="2" xfId="17" applyNumberFormat="1" applyFont="1" applyFill="1" applyBorder="1" applyAlignment="1">
      <alignment/>
    </xf>
    <xf numFmtId="41" fontId="8" fillId="0" borderId="0" xfId="17" applyNumberFormat="1" applyFont="1" applyFill="1" applyBorder="1" applyAlignment="1">
      <alignment/>
    </xf>
    <xf numFmtId="41" fontId="8" fillId="0" borderId="0" xfId="26" applyNumberFormat="1" applyFont="1" applyFill="1" applyAlignment="1">
      <alignment/>
    </xf>
    <xf numFmtId="41" fontId="8" fillId="0" borderId="0" xfId="0" applyNumberFormat="1" applyFont="1" applyFill="1" applyAlignment="1">
      <alignment/>
    </xf>
    <xf numFmtId="0" fontId="9" fillId="0" borderId="0" xfId="0" applyNumberFormat="1" applyFont="1" applyFill="1" applyBorder="1" applyAlignment="1">
      <alignment horizontal="center"/>
    </xf>
    <xf numFmtId="37" fontId="8" fillId="0" borderId="0" xfId="0" applyNumberFormat="1" applyFont="1" applyAlignment="1" quotePrefix="1">
      <alignment horizontal="right"/>
    </xf>
    <xf numFmtId="44" fontId="8" fillId="0" borderId="0" xfId="17" applyFont="1" applyAlignment="1">
      <alignment/>
    </xf>
    <xf numFmtId="39" fontId="29" fillId="0" borderId="0" xfId="0" applyFont="1" applyBorder="1" applyAlignment="1">
      <alignment/>
    </xf>
    <xf numFmtId="41" fontId="9" fillId="0" borderId="2" xfId="15" applyNumberFormat="1" applyFont="1" applyFill="1" applyBorder="1" applyAlignment="1">
      <alignment/>
    </xf>
    <xf numFmtId="167" fontId="8" fillId="0" borderId="3" xfId="23" applyNumberFormat="1" applyFont="1" applyFill="1" applyBorder="1" applyAlignment="1">
      <alignment/>
      <protection/>
    </xf>
    <xf numFmtId="167" fontId="0" fillId="0" borderId="0" xfId="0" applyNumberFormat="1" applyFont="1" applyFill="1" applyAlignment="1">
      <alignment/>
    </xf>
    <xf numFmtId="167" fontId="8" fillId="0" borderId="0" xfId="23" applyNumberFormat="1" applyFont="1" applyFill="1" applyBorder="1" applyAlignment="1">
      <alignment/>
      <protection/>
    </xf>
    <xf numFmtId="41" fontId="8" fillId="0" borderId="2" xfId="15" applyNumberFormat="1" applyFont="1" applyFill="1" applyBorder="1" applyAlignment="1">
      <alignment/>
    </xf>
    <xf numFmtId="41" fontId="8" fillId="0" borderId="0" xfId="15" applyNumberFormat="1" applyFont="1" applyFill="1" applyBorder="1" applyAlignment="1">
      <alignment/>
    </xf>
    <xf numFmtId="41" fontId="33" fillId="0" borderId="0" xfId="26" applyNumberFormat="1" applyFont="1" applyFill="1" applyAlignment="1">
      <alignment/>
    </xf>
    <xf numFmtId="42" fontId="8" fillId="0" borderId="3" xfId="17" applyNumberFormat="1" applyFont="1" applyFill="1" applyBorder="1" applyAlignment="1">
      <alignment/>
    </xf>
    <xf numFmtId="41" fontId="8" fillId="0" borderId="0" xfId="15" applyNumberFormat="1" applyFont="1" applyFill="1" applyBorder="1" applyAlignment="1">
      <alignment/>
    </xf>
    <xf numFmtId="42" fontId="8" fillId="0" borderId="3" xfId="17" applyNumberFormat="1" applyFont="1" applyFill="1" applyBorder="1" applyAlignment="1">
      <alignment/>
    </xf>
    <xf numFmtId="39" fontId="11" fillId="0" borderId="0" xfId="0" applyFont="1" applyFill="1" applyAlignment="1">
      <alignment/>
    </xf>
    <xf numFmtId="9" fontId="8" fillId="0" borderId="0" xfId="17" applyNumberFormat="1" applyFont="1" applyFill="1" applyAlignment="1">
      <alignment/>
    </xf>
    <xf numFmtId="9" fontId="8" fillId="0" borderId="0" xfId="0" applyNumberFormat="1" applyFont="1" applyFill="1" applyAlignment="1">
      <alignment/>
    </xf>
    <xf numFmtId="39" fontId="7" fillId="0" borderId="0" xfId="0" applyFont="1" applyFill="1" applyAlignment="1">
      <alignment horizontal="centerContinuous"/>
    </xf>
    <xf numFmtId="39" fontId="9" fillId="0" borderId="0" xfId="0" applyFont="1" applyFill="1" applyAlignment="1">
      <alignment horizontal="centerContinuous"/>
    </xf>
    <xf numFmtId="37" fontId="9" fillId="0" borderId="0" xfId="0" applyNumberFormat="1" applyFont="1" applyFill="1" applyAlignment="1">
      <alignment horizontal="center"/>
    </xf>
    <xf numFmtId="37" fontId="9" fillId="0" borderId="0" xfId="0" applyNumberFormat="1" applyFont="1" applyFill="1" applyBorder="1" applyAlignment="1">
      <alignment horizontal="center"/>
    </xf>
    <xf numFmtId="37" fontId="8" fillId="0" borderId="2" xfId="0" applyNumberFormat="1" applyFont="1" applyFill="1" applyBorder="1" applyAlignment="1">
      <alignment/>
    </xf>
    <xf numFmtId="37" fontId="8" fillId="0" borderId="2" xfId="0" applyNumberFormat="1" applyFont="1" applyFill="1" applyBorder="1" applyAlignment="1">
      <alignment/>
    </xf>
    <xf numFmtId="39" fontId="8" fillId="0" borderId="3" xfId="0" applyFont="1" applyBorder="1" applyAlignment="1">
      <alignment horizontal="left" indent="1"/>
    </xf>
    <xf numFmtId="39" fontId="8" fillId="0" borderId="1" xfId="0" applyFont="1" applyBorder="1" applyAlignment="1">
      <alignment/>
    </xf>
    <xf numFmtId="0" fontId="8" fillId="0" borderId="3" xfId="0" applyNumberFormat="1" applyFont="1" applyBorder="1" applyAlignment="1">
      <alignment wrapText="1"/>
    </xf>
    <xf numFmtId="39" fontId="8" fillId="0" borderId="3" xfId="0" applyFont="1" applyBorder="1" applyAlignment="1">
      <alignment/>
    </xf>
    <xf numFmtId="167" fontId="9" fillId="0" borderId="0" xfId="0" applyNumberFormat="1" applyFont="1" applyAlignment="1" applyProtection="1">
      <alignment/>
      <protection/>
    </xf>
    <xf numFmtId="165" fontId="9" fillId="0" borderId="0" xfId="17" applyNumberFormat="1" applyFont="1" applyFill="1" applyBorder="1" applyAlignment="1">
      <alignment/>
    </xf>
    <xf numFmtId="0" fontId="20" fillId="0" borderId="0" xfId="20" applyNumberFormat="1" applyFont="1" applyAlignment="1">
      <alignment/>
    </xf>
    <xf numFmtId="41" fontId="8" fillId="0" borderId="0" xfId="15" applyNumberFormat="1" applyFont="1" applyFill="1" applyBorder="1" applyAlignment="1">
      <alignment/>
    </xf>
    <xf numFmtId="39" fontId="15" fillId="0" borderId="0" xfId="0" applyFont="1" applyBorder="1" applyAlignment="1">
      <alignment/>
    </xf>
    <xf numFmtId="0" fontId="8" fillId="0" borderId="0" xfId="23" applyFont="1" applyBorder="1" applyAlignment="1">
      <alignment/>
      <protection/>
    </xf>
    <xf numFmtId="37" fontId="8" fillId="0" borderId="4" xfId="0" applyNumberFormat="1" applyFont="1" applyFill="1" applyBorder="1" applyAlignment="1">
      <alignment/>
    </xf>
    <xf numFmtId="168" fontId="8" fillId="0" borderId="3" xfId="15" applyNumberFormat="1" applyFont="1" applyFill="1" applyBorder="1" applyAlignment="1">
      <alignment/>
    </xf>
    <xf numFmtId="0" fontId="8" fillId="0" borderId="0" xfId="0" applyNumberFormat="1" applyFont="1" applyFill="1" applyBorder="1" applyAlignment="1" applyProtection="1">
      <alignment/>
      <protection/>
    </xf>
    <xf numFmtId="42" fontId="8" fillId="0" borderId="0" xfId="0" applyNumberFormat="1" applyFont="1" applyFill="1" applyBorder="1" applyAlignment="1" applyProtection="1">
      <alignment/>
      <protection/>
    </xf>
    <xf numFmtId="41" fontId="8" fillId="0" borderId="5" xfId="23" applyNumberFormat="1" applyFont="1" applyFill="1" applyBorder="1" applyAlignment="1">
      <alignment/>
      <protection/>
    </xf>
    <xf numFmtId="43" fontId="8" fillId="0" borderId="1" xfId="15" applyFont="1" applyFill="1" applyBorder="1" applyAlignment="1">
      <alignment/>
    </xf>
    <xf numFmtId="44" fontId="8" fillId="0" borderId="3" xfId="23" applyNumberFormat="1" applyFont="1" applyFill="1" applyBorder="1" applyAlignment="1">
      <alignment/>
      <protection/>
    </xf>
    <xf numFmtId="179" fontId="40" fillId="0" borderId="0" xfId="0" applyNumberFormat="1" applyFont="1" applyFill="1" applyBorder="1" applyAlignment="1" applyProtection="1">
      <alignment/>
      <protection/>
    </xf>
    <xf numFmtId="179" fontId="41" fillId="0" borderId="0" xfId="0" applyNumberFormat="1" applyFont="1" applyFill="1" applyBorder="1" applyAlignment="1" applyProtection="1">
      <alignment/>
      <protection/>
    </xf>
    <xf numFmtId="39" fontId="10" fillId="0" borderId="0" xfId="0" applyFont="1" applyBorder="1" applyAlignment="1">
      <alignment horizontal="center"/>
    </xf>
    <xf numFmtId="169" fontId="9" fillId="0" borderId="0" xfId="0" applyNumberFormat="1" applyFont="1" applyBorder="1" applyAlignment="1" applyProtection="1" quotePrefix="1">
      <alignment horizontal="center"/>
      <protection/>
    </xf>
    <xf numFmtId="43" fontId="8" fillId="0" borderId="0" xfId="0" applyNumberFormat="1" applyFont="1" applyFill="1" applyBorder="1" applyAlignment="1">
      <alignment/>
    </xf>
    <xf numFmtId="37" fontId="8" fillId="0" borderId="0" xfId="0" applyNumberFormat="1" applyFont="1" applyFill="1" applyBorder="1" applyAlignment="1" applyProtection="1">
      <alignment/>
      <protection/>
    </xf>
    <xf numFmtId="44" fontId="8" fillId="0" borderId="0" xfId="17" applyFont="1" applyFill="1" applyBorder="1" applyAlignment="1" applyProtection="1">
      <alignment/>
      <protection/>
    </xf>
    <xf numFmtId="39" fontId="9" fillId="0" borderId="0" xfId="0" applyFont="1" applyBorder="1" applyAlignment="1">
      <alignment horizontal="centerContinuous"/>
    </xf>
    <xf numFmtId="0" fontId="9" fillId="0" borderId="0" xfId="0" applyNumberFormat="1" applyFont="1" applyFill="1" applyBorder="1" applyAlignment="1" quotePrefix="1">
      <alignment horizontal="center"/>
    </xf>
    <xf numFmtId="9" fontId="8" fillId="0" borderId="0" xfId="26" applyNumberFormat="1" applyFont="1" applyFill="1" applyBorder="1" applyAlignment="1">
      <alignment/>
    </xf>
    <xf numFmtId="39" fontId="11" fillId="0" borderId="0" xfId="0" applyFont="1" applyBorder="1" applyAlignment="1">
      <alignment/>
    </xf>
    <xf numFmtId="15" fontId="9" fillId="0" borderId="0" xfId="0" applyNumberFormat="1" applyFont="1" applyBorder="1" applyAlignment="1" applyProtection="1" quotePrefix="1">
      <alignment horizontal="left"/>
      <protection/>
    </xf>
    <xf numFmtId="39" fontId="8" fillId="0" borderId="0" xfId="0" applyFont="1" applyFill="1" applyBorder="1" applyAlignment="1">
      <alignment/>
    </xf>
    <xf numFmtId="39" fontId="9" fillId="0" borderId="0" xfId="0" applyFont="1" applyFill="1" applyBorder="1" applyAlignment="1">
      <alignment/>
    </xf>
    <xf numFmtId="15" fontId="9" fillId="0" borderId="0" xfId="0" applyNumberFormat="1" applyFont="1" applyFill="1" applyBorder="1" applyAlignment="1" applyProtection="1" quotePrefix="1">
      <alignment horizontal="left"/>
      <protection/>
    </xf>
    <xf numFmtId="0" fontId="8" fillId="0" borderId="0" xfId="0" applyNumberFormat="1" applyFont="1" applyFill="1" applyBorder="1" applyAlignment="1" applyProtection="1">
      <alignment/>
      <protection/>
    </xf>
    <xf numFmtId="168" fontId="34" fillId="0" borderId="0" xfId="15"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39" fontId="0" fillId="0" borderId="0" xfId="0" applyAlignment="1">
      <alignment horizontal="center"/>
    </xf>
    <xf numFmtId="0" fontId="9" fillId="0" borderId="0" xfId="0" applyNumberFormat="1" applyFont="1" applyBorder="1" applyAlignment="1" quotePrefix="1">
      <alignment horizontal="center" wrapText="1"/>
    </xf>
    <xf numFmtId="39" fontId="9" fillId="0" borderId="0" xfId="0" applyFont="1" applyFill="1" applyBorder="1" applyAlignment="1">
      <alignment horizontal="left"/>
    </xf>
    <xf numFmtId="39" fontId="13" fillId="0" borderId="0" xfId="0" applyFont="1" applyBorder="1" applyAlignment="1">
      <alignment/>
    </xf>
    <xf numFmtId="39" fontId="15" fillId="0" borderId="0" xfId="0" applyFont="1" applyFill="1" applyBorder="1" applyAlignment="1">
      <alignment/>
    </xf>
    <xf numFmtId="43" fontId="9" fillId="0" borderId="1" xfId="15" applyFont="1" applyBorder="1" applyAlignment="1" quotePrefix="1">
      <alignment horizontal="center"/>
    </xf>
    <xf numFmtId="0" fontId="8" fillId="0" borderId="0" xfId="0" applyNumberFormat="1" applyFont="1" applyFill="1" applyBorder="1" applyAlignment="1">
      <alignment/>
    </xf>
    <xf numFmtId="49" fontId="9" fillId="0" borderId="1" xfId="0" applyNumberFormat="1" applyFont="1" applyBorder="1" applyAlignment="1">
      <alignment horizontal="center"/>
    </xf>
    <xf numFmtId="39" fontId="38" fillId="0" borderId="0" xfId="0" applyFont="1" applyBorder="1" applyAlignment="1">
      <alignment/>
    </xf>
    <xf numFmtId="39" fontId="8" fillId="0" borderId="0" xfId="0" applyFont="1" applyFill="1" applyAlignment="1">
      <alignment horizontal="right"/>
    </xf>
    <xf numFmtId="0" fontId="29" fillId="0" borderId="0" xfId="22" applyNumberFormat="1" applyFont="1" applyBorder="1" applyAlignment="1">
      <alignment/>
      <protection/>
    </xf>
    <xf numFmtId="44" fontId="8" fillId="0" borderId="5" xfId="23" applyNumberFormat="1" applyFont="1" applyFill="1" applyBorder="1" applyAlignment="1">
      <alignment/>
      <protection/>
    </xf>
    <xf numFmtId="0" fontId="8" fillId="0" borderId="0" xfId="23" applyNumberFormat="1" applyFont="1" applyBorder="1" applyAlignment="1">
      <alignment horizontal="left" wrapText="1"/>
      <protection/>
    </xf>
    <xf numFmtId="39" fontId="8" fillId="0" borderId="0" xfId="0" applyFont="1" applyAlignment="1">
      <alignment horizontal="center"/>
    </xf>
    <xf numFmtId="39" fontId="9" fillId="0" borderId="0" xfId="0" applyFont="1" applyAlignment="1">
      <alignment wrapText="1"/>
    </xf>
    <xf numFmtId="39" fontId="43" fillId="0" borderId="0" xfId="0" applyFont="1" applyAlignment="1">
      <alignment/>
    </xf>
    <xf numFmtId="9" fontId="8" fillId="0" borderId="1" xfId="26" applyFont="1" applyFill="1" applyBorder="1" applyAlignment="1">
      <alignment horizontal="right"/>
    </xf>
    <xf numFmtId="168" fontId="8" fillId="0" borderId="5" xfId="15" applyNumberFormat="1" applyFont="1" applyFill="1" applyBorder="1" applyAlignment="1">
      <alignment/>
    </xf>
    <xf numFmtId="42" fontId="8" fillId="0" borderId="0" xfId="17" applyNumberFormat="1" applyFont="1" applyFill="1" applyAlignment="1">
      <alignment horizontal="right"/>
    </xf>
    <xf numFmtId="168" fontId="8" fillId="0" borderId="3" xfId="15" applyNumberFormat="1" applyFont="1" applyFill="1" applyBorder="1" applyAlignment="1">
      <alignment/>
    </xf>
    <xf numFmtId="168" fontId="8" fillId="0" borderId="5" xfId="15" applyNumberFormat="1" applyFont="1" applyFill="1" applyBorder="1" applyAlignment="1">
      <alignment/>
    </xf>
    <xf numFmtId="39" fontId="9" fillId="0" borderId="0" xfId="0" applyFont="1" applyAlignment="1" quotePrefix="1">
      <alignment horizontal="center"/>
    </xf>
    <xf numFmtId="168" fontId="1" fillId="0" borderId="0" xfId="15" applyNumberFormat="1" applyFont="1" applyFill="1" applyAlignment="1">
      <alignment/>
    </xf>
    <xf numFmtId="168" fontId="1" fillId="0" borderId="0" xfId="15" applyNumberFormat="1" applyFont="1" applyAlignment="1">
      <alignment horizontal="left"/>
    </xf>
    <xf numFmtId="168" fontId="1" fillId="0" borderId="0" xfId="15" applyNumberFormat="1" applyFont="1" applyAlignment="1">
      <alignment/>
    </xf>
    <xf numFmtId="0" fontId="8" fillId="0" borderId="0" xfId="0" applyNumberFormat="1" applyFont="1" applyAlignment="1" applyProtection="1" quotePrefix="1">
      <alignment/>
      <protection/>
    </xf>
    <xf numFmtId="39" fontId="16" fillId="0" borderId="0" xfId="0" applyFont="1" applyAlignment="1">
      <alignment/>
    </xf>
    <xf numFmtId="37" fontId="0" fillId="0" borderId="0" xfId="0" applyNumberFormat="1" applyAlignment="1">
      <alignment/>
    </xf>
    <xf numFmtId="37" fontId="8" fillId="0" borderId="6" xfId="0" applyNumberFormat="1" applyFont="1" applyFill="1" applyBorder="1" applyAlignment="1">
      <alignment/>
    </xf>
    <xf numFmtId="9" fontId="8" fillId="0" borderId="0" xfId="26" applyNumberFormat="1" applyFont="1" applyAlignment="1">
      <alignment/>
    </xf>
    <xf numFmtId="41" fontId="8" fillId="0" borderId="0" xfId="0" applyNumberFormat="1" applyFont="1" applyBorder="1" applyAlignment="1">
      <alignment horizontal="center"/>
    </xf>
    <xf numFmtId="0" fontId="9" fillId="0" borderId="0" xfId="23" applyNumberFormat="1" applyFont="1" applyFill="1" applyAlignment="1">
      <alignment vertical="center"/>
      <protection/>
    </xf>
    <xf numFmtId="39" fontId="10" fillId="0" borderId="0" xfId="0" applyFont="1" applyBorder="1" applyAlignment="1">
      <alignment/>
    </xf>
    <xf numFmtId="0" fontId="10" fillId="0" borderId="0" xfId="23" applyNumberFormat="1" applyFont="1" applyAlignment="1">
      <alignment/>
      <protection/>
    </xf>
    <xf numFmtId="0" fontId="10" fillId="0" borderId="0" xfId="0" applyNumberFormat="1" applyFont="1" applyAlignment="1" applyProtection="1">
      <alignment/>
      <protection/>
    </xf>
    <xf numFmtId="0" fontId="9" fillId="0" borderId="0" xfId="0" applyNumberFormat="1" applyFont="1" applyAlignment="1" applyProtection="1">
      <alignment/>
      <protection/>
    </xf>
    <xf numFmtId="0" fontId="7" fillId="0" borderId="0" xfId="23" applyNumberFormat="1" applyFont="1" applyAlignment="1">
      <alignment/>
      <protection/>
    </xf>
    <xf numFmtId="49" fontId="18" fillId="0" borderId="0" xfId="15" applyNumberFormat="1" applyFont="1" applyFill="1" applyBorder="1" applyAlignment="1">
      <alignment/>
    </xf>
    <xf numFmtId="166" fontId="18" fillId="0" borderId="0" xfId="26" applyNumberFormat="1" applyFont="1" applyFill="1" applyBorder="1" applyAlignment="1">
      <alignment/>
    </xf>
    <xf numFmtId="9" fontId="8" fillId="0" borderId="0" xfId="17" applyNumberFormat="1" applyFont="1" applyFill="1" applyBorder="1" applyAlignment="1">
      <alignment/>
    </xf>
    <xf numFmtId="0" fontId="20" fillId="0" borderId="0" xfId="20" applyNumberFormat="1" applyFont="1" applyFill="1" applyAlignment="1">
      <alignment/>
    </xf>
    <xf numFmtId="39" fontId="13" fillId="0" borderId="0" xfId="0" applyFont="1" applyFill="1" applyAlignment="1">
      <alignment/>
    </xf>
    <xf numFmtId="9" fontId="13" fillId="0" borderId="0" xfId="26" applyFont="1" applyAlignment="1">
      <alignment/>
    </xf>
    <xf numFmtId="9" fontId="13" fillId="0" borderId="0" xfId="26" applyFont="1" applyBorder="1" applyAlignment="1">
      <alignment/>
    </xf>
    <xf numFmtId="9" fontId="22" fillId="0" borderId="0" xfId="26" applyFont="1" applyAlignment="1">
      <alignment/>
    </xf>
    <xf numFmtId="172" fontId="44" fillId="0" borderId="0" xfId="0" applyNumberFormat="1" applyFont="1" applyAlignment="1">
      <alignment/>
    </xf>
    <xf numFmtId="168" fontId="29" fillId="0" borderId="0" xfId="15" applyNumberFormat="1" applyFont="1" applyAlignment="1">
      <alignment/>
    </xf>
    <xf numFmtId="39" fontId="9" fillId="0" borderId="0" xfId="0" applyFont="1" applyFill="1" applyBorder="1" applyAlignment="1">
      <alignment vertical="top" wrapText="1"/>
    </xf>
    <xf numFmtId="39" fontId="9" fillId="0" borderId="0" xfId="0" applyFont="1" applyBorder="1" applyAlignment="1">
      <alignment vertical="top" wrapText="1"/>
    </xf>
    <xf numFmtId="169" fontId="9" fillId="0" borderId="0" xfId="0" applyNumberFormat="1" applyFont="1" applyBorder="1" applyAlignment="1" applyProtection="1">
      <alignment horizontal="center"/>
      <protection/>
    </xf>
    <xf numFmtId="0" fontId="9" fillId="0" borderId="0" xfId="0" applyNumberFormat="1" applyFont="1" applyFill="1" applyBorder="1" applyAlignment="1" applyProtection="1">
      <alignment/>
      <protection/>
    </xf>
    <xf numFmtId="4" fontId="9" fillId="0" borderId="0" xfId="0" applyNumberFormat="1" applyFont="1" applyBorder="1" applyAlignment="1" applyProtection="1">
      <alignment/>
      <protection/>
    </xf>
    <xf numFmtId="39" fontId="9" fillId="0" borderId="0" xfId="0" applyFont="1" applyBorder="1" applyAlignment="1">
      <alignment/>
    </xf>
    <xf numFmtId="39" fontId="11" fillId="0" borderId="0" xfId="0" applyFont="1" applyBorder="1" applyAlignment="1">
      <alignment horizontal="left"/>
    </xf>
    <xf numFmtId="168" fontId="9" fillId="0" borderId="0" xfId="15" applyNumberFormat="1" applyFont="1" applyFill="1" applyBorder="1" applyAlignment="1">
      <alignment/>
    </xf>
    <xf numFmtId="39" fontId="9" fillId="0" borderId="0" xfId="0" applyFont="1" applyBorder="1" applyAlignment="1">
      <alignment horizontal="left"/>
    </xf>
    <xf numFmtId="37" fontId="8" fillId="3" borderId="6" xfId="0" applyNumberFormat="1" applyFont="1" applyFill="1" applyBorder="1" applyAlignment="1">
      <alignment/>
    </xf>
    <xf numFmtId="39" fontId="8" fillId="0" borderId="0" xfId="0" applyFont="1" applyBorder="1" applyAlignment="1">
      <alignment horizontal="left" indent="1"/>
    </xf>
    <xf numFmtId="9" fontId="8" fillId="0" borderId="0" xfId="0" applyNumberFormat="1" applyFont="1" applyFill="1" applyBorder="1" applyAlignment="1">
      <alignment/>
    </xf>
    <xf numFmtId="41" fontId="8" fillId="0" borderId="0" xfId="26" applyNumberFormat="1" applyFont="1" applyFill="1" applyBorder="1" applyAlignment="1">
      <alignment/>
    </xf>
    <xf numFmtId="9" fontId="33" fillId="0" borderId="0" xfId="26" applyFont="1" applyFill="1" applyBorder="1" applyAlignment="1">
      <alignment/>
    </xf>
    <xf numFmtId="42" fontId="8" fillId="0" borderId="0" xfId="15" applyNumberFormat="1" applyFont="1" applyFill="1" applyBorder="1" applyAlignment="1">
      <alignment/>
    </xf>
    <xf numFmtId="9" fontId="8" fillId="0" borderId="0" xfId="26" applyNumberFormat="1" applyFont="1" applyFill="1" applyBorder="1" applyAlignment="1">
      <alignment/>
    </xf>
    <xf numFmtId="39" fontId="24" fillId="0" borderId="0" xfId="0" applyFont="1" applyFill="1" applyAlignment="1">
      <alignment/>
    </xf>
    <xf numFmtId="0" fontId="40" fillId="0" borderId="0" xfId="0" applyNumberFormat="1" applyFont="1" applyFill="1" applyBorder="1" applyAlignment="1" applyProtection="1">
      <alignment/>
      <protection/>
    </xf>
    <xf numFmtId="39" fontId="8" fillId="0" borderId="0" xfId="0" applyFont="1" applyFill="1" applyAlignment="1">
      <alignment horizontal="left"/>
    </xf>
    <xf numFmtId="39" fontId="1" fillId="0" borderId="0" xfId="0" applyFont="1" applyAlignment="1">
      <alignment/>
    </xf>
    <xf numFmtId="39" fontId="9" fillId="0" borderId="4" xfId="0" applyFont="1" applyBorder="1" applyAlignment="1">
      <alignment horizontal="center"/>
    </xf>
    <xf numFmtId="43" fontId="45" fillId="0" borderId="0" xfId="15" applyFont="1" applyFill="1" applyAlignment="1">
      <alignment/>
    </xf>
    <xf numFmtId="168" fontId="45" fillId="0" borderId="2" xfId="15" applyNumberFormat="1" applyFont="1" applyFill="1" applyBorder="1" applyAlignment="1">
      <alignment/>
    </xf>
    <xf numFmtId="167" fontId="45" fillId="0" borderId="0" xfId="17" applyNumberFormat="1" applyFont="1" applyFill="1" applyBorder="1" applyAlignment="1">
      <alignment/>
    </xf>
    <xf numFmtId="41" fontId="45" fillId="0" borderId="0" xfId="23" applyNumberFormat="1" applyFont="1" applyFill="1" applyBorder="1" applyAlignment="1">
      <alignment/>
      <protection/>
    </xf>
    <xf numFmtId="43" fontId="45" fillId="0" borderId="3" xfId="15" applyFont="1" applyFill="1" applyBorder="1" applyAlignment="1">
      <alignment/>
    </xf>
    <xf numFmtId="43" fontId="46" fillId="0" borderId="0" xfId="15" applyFont="1" applyFill="1" applyAlignment="1">
      <alignment/>
    </xf>
    <xf numFmtId="43" fontId="46" fillId="0" borderId="0" xfId="15" applyFont="1" applyFill="1" applyBorder="1" applyAlignment="1">
      <alignment/>
    </xf>
    <xf numFmtId="43" fontId="46" fillId="0" borderId="2" xfId="15" applyFont="1" applyFill="1" applyBorder="1" applyAlignment="1">
      <alignment/>
    </xf>
    <xf numFmtId="43" fontId="46" fillId="0" borderId="3" xfId="15" applyFont="1" applyFill="1" applyBorder="1" applyAlignment="1">
      <alignment/>
    </xf>
    <xf numFmtId="168" fontId="46" fillId="0" borderId="2" xfId="15" applyNumberFormat="1" applyFont="1" applyFill="1" applyBorder="1" applyAlignment="1">
      <alignment/>
    </xf>
    <xf numFmtId="17" fontId="9" fillId="0" borderId="1" xfId="25" applyNumberFormat="1" applyFont="1" applyBorder="1" applyAlignment="1" applyProtection="1" quotePrefix="1">
      <alignment horizontal="center"/>
      <protection/>
    </xf>
    <xf numFmtId="9" fontId="33" fillId="0" borderId="0" xfId="15" applyNumberFormat="1" applyFont="1" applyFill="1" applyBorder="1" applyAlignment="1">
      <alignment/>
    </xf>
    <xf numFmtId="167" fontId="9" fillId="0" borderId="3" xfId="17" applyNumberFormat="1" applyFont="1" applyFill="1" applyBorder="1" applyAlignment="1">
      <alignment/>
    </xf>
    <xf numFmtId="9" fontId="13" fillId="0" borderId="0" xfId="26" applyFont="1" applyFill="1" applyAlignment="1">
      <alignment/>
    </xf>
    <xf numFmtId="9" fontId="8" fillId="0" borderId="1" xfId="26" applyNumberFormat="1" applyFont="1" applyFill="1" applyBorder="1" applyAlignment="1">
      <alignment/>
    </xf>
    <xf numFmtId="177" fontId="8" fillId="0" borderId="0" xfId="0" applyNumberFormat="1" applyFont="1" applyAlignment="1">
      <alignment/>
    </xf>
    <xf numFmtId="168" fontId="8" fillId="0" borderId="0" xfId="0" applyNumberFormat="1" applyFont="1" applyAlignment="1" applyProtection="1">
      <alignment/>
      <protection/>
    </xf>
    <xf numFmtId="41" fontId="29" fillId="0" borderId="0" xfId="22" applyNumberFormat="1" applyFont="1" applyBorder="1" applyAlignment="1">
      <alignment/>
      <protection/>
    </xf>
    <xf numFmtId="39" fontId="8" fillId="3" borderId="6" xfId="0" applyFont="1" applyFill="1" applyBorder="1" applyAlignment="1">
      <alignment/>
    </xf>
    <xf numFmtId="39" fontId="47" fillId="0" borderId="0" xfId="0" applyFont="1" applyAlignment="1">
      <alignment/>
    </xf>
    <xf numFmtId="39" fontId="48" fillId="0" borderId="0" xfId="0" applyFont="1" applyAlignment="1">
      <alignment/>
    </xf>
    <xf numFmtId="39" fontId="34" fillId="0" borderId="0" xfId="0" applyFont="1" applyFill="1" applyAlignment="1">
      <alignment/>
    </xf>
    <xf numFmtId="39" fontId="19" fillId="0" borderId="0" xfId="0" applyFont="1" applyFill="1" applyAlignment="1">
      <alignment horizontal="left" vertical="center" wrapText="1"/>
    </xf>
    <xf numFmtId="39" fontId="49" fillId="0" borderId="0" xfId="0" applyFont="1" applyAlignment="1">
      <alignment/>
    </xf>
    <xf numFmtId="0" fontId="20" fillId="0" borderId="0" xfId="0" applyNumberFormat="1" applyFont="1" applyFill="1" applyBorder="1" applyAlignment="1" applyProtection="1">
      <alignment vertical="top" wrapText="1"/>
      <protection/>
    </xf>
    <xf numFmtId="39" fontId="50" fillId="0" borderId="0" xfId="0" applyFont="1" applyAlignment="1">
      <alignment/>
    </xf>
    <xf numFmtId="39" fontId="15" fillId="0" borderId="0" xfId="0" applyFont="1" applyAlignment="1">
      <alignment horizontal="right"/>
    </xf>
    <xf numFmtId="39" fontId="8" fillId="0" borderId="0" xfId="0" applyFont="1" applyBorder="1" applyAlignment="1">
      <alignment wrapText="1"/>
    </xf>
    <xf numFmtId="0" fontId="8" fillId="0" borderId="0" xfId="0" applyNumberFormat="1" applyFont="1" applyBorder="1" applyAlignment="1">
      <alignment horizontal="left" vertical="top" wrapText="1"/>
    </xf>
    <xf numFmtId="41" fontId="8" fillId="0" borderId="1" xfId="0" applyNumberFormat="1" applyFont="1" applyFill="1" applyBorder="1" applyAlignment="1">
      <alignment/>
    </xf>
    <xf numFmtId="166" fontId="0" fillId="0" borderId="0" xfId="26" applyNumberFormat="1" applyAlignment="1">
      <alignment/>
    </xf>
    <xf numFmtId="9" fontId="0" fillId="0" borderId="0" xfId="26" applyNumberFormat="1" applyAlignment="1">
      <alignment/>
    </xf>
    <xf numFmtId="9" fontId="0" fillId="0" borderId="0" xfId="26" applyNumberFormat="1" applyFont="1" applyAlignment="1">
      <alignment/>
    </xf>
    <xf numFmtId="176" fontId="9" fillId="0" borderId="1" xfId="0" applyNumberFormat="1" applyFont="1" applyFill="1" applyBorder="1" applyAlignment="1">
      <alignment horizontal="center"/>
    </xf>
    <xf numFmtId="39" fontId="8" fillId="0" borderId="0" xfId="0" applyFont="1" applyFill="1" applyAlignment="1" quotePrefix="1">
      <alignment horizontal="left" wrapText="1"/>
    </xf>
    <xf numFmtId="39" fontId="8" fillId="0" borderId="0" xfId="0" applyFont="1" applyFill="1" applyAlignment="1">
      <alignment horizontal="left" wrapText="1"/>
    </xf>
    <xf numFmtId="39" fontId="0" fillId="0" borderId="0" xfId="0" applyFont="1" applyFill="1" applyAlignment="1">
      <alignment wrapText="1"/>
    </xf>
    <xf numFmtId="0" fontId="20" fillId="0" borderId="0" xfId="0" applyNumberFormat="1" applyFont="1" applyFill="1" applyBorder="1" applyAlignment="1" applyProtection="1">
      <alignment vertical="top" wrapText="1"/>
      <protection/>
    </xf>
    <xf numFmtId="39" fontId="9" fillId="0" borderId="4" xfId="0" applyFont="1" applyBorder="1" applyAlignment="1">
      <alignment horizontal="center"/>
    </xf>
    <xf numFmtId="39" fontId="15" fillId="0" borderId="4" xfId="0" applyFont="1" applyBorder="1" applyAlignment="1">
      <alignment horizontal="center"/>
    </xf>
    <xf numFmtId="0" fontId="7" fillId="0" borderId="0" xfId="23" applyNumberFormat="1" applyFont="1" applyFill="1" applyAlignment="1">
      <alignment horizontal="center" vertical="center"/>
      <protection/>
    </xf>
    <xf numFmtId="0" fontId="9" fillId="0" borderId="0" xfId="23" applyNumberFormat="1" applyFont="1" applyFill="1" applyAlignment="1">
      <alignment horizontal="center" vertical="center"/>
      <protection/>
    </xf>
    <xf numFmtId="0" fontId="10" fillId="0" borderId="0" xfId="23" applyNumberFormat="1" applyFont="1" applyFill="1" applyAlignment="1">
      <alignment horizontal="center" vertical="center"/>
      <protection/>
    </xf>
    <xf numFmtId="0" fontId="9" fillId="0" borderId="0" xfId="23" applyNumberFormat="1" applyFont="1" applyFill="1" applyAlignment="1">
      <alignment horizontal="center" vertical="center"/>
      <protection/>
    </xf>
    <xf numFmtId="39" fontId="20" fillId="0" borderId="0" xfId="0" applyFont="1" applyFill="1" applyAlignment="1">
      <alignment horizontal="left" vertical="center" wrapText="1"/>
    </xf>
    <xf numFmtId="39" fontId="0" fillId="0" borderId="0" xfId="0" applyAlignment="1">
      <alignment horizontal="left"/>
    </xf>
    <xf numFmtId="39" fontId="0" fillId="0" borderId="0" xfId="0" applyAlignment="1">
      <alignment horizontal="left" vertical="center" wrapText="1"/>
    </xf>
    <xf numFmtId="176" fontId="9" fillId="0" borderId="1" xfId="0" applyNumberFormat="1" applyFont="1" applyFill="1" applyBorder="1" applyAlignment="1" quotePrefix="1">
      <alignment horizontal="center"/>
    </xf>
    <xf numFmtId="0" fontId="9" fillId="0" borderId="0" xfId="0" applyNumberFormat="1" applyFont="1" applyAlignment="1">
      <alignment horizontal="left"/>
    </xf>
    <xf numFmtId="0" fontId="2" fillId="0" borderId="0" xfId="0" applyNumberFormat="1" applyFont="1" applyAlignment="1">
      <alignment horizontal="left"/>
    </xf>
    <xf numFmtId="39" fontId="8" fillId="0" borderId="0" xfId="0" applyFont="1" applyAlignment="1">
      <alignment wrapText="1"/>
    </xf>
    <xf numFmtId="39" fontId="22" fillId="0" borderId="0" xfId="0" applyFont="1" applyAlignment="1">
      <alignment horizontal="left" vertical="top" wrapText="1"/>
    </xf>
    <xf numFmtId="39" fontId="13" fillId="0" borderId="0" xfId="0" applyFont="1" applyAlignment="1">
      <alignment horizontal="left" vertical="top" wrapText="1"/>
    </xf>
    <xf numFmtId="190" fontId="15" fillId="0" borderId="0" xfId="0" applyNumberFormat="1" applyFont="1" applyAlignment="1">
      <alignment horizontal="left"/>
    </xf>
    <xf numFmtId="39" fontId="8" fillId="0" borderId="0" xfId="0" applyFont="1" applyAlignment="1">
      <alignment vertical="top" wrapText="1"/>
    </xf>
    <xf numFmtId="39" fontId="15" fillId="0" borderId="0" xfId="0" applyFont="1" applyAlignment="1">
      <alignment vertical="top" wrapText="1"/>
    </xf>
    <xf numFmtId="39" fontId="15" fillId="0" borderId="0" xfId="0" applyFont="1" applyAlignment="1">
      <alignment wrapText="1"/>
    </xf>
    <xf numFmtId="39" fontId="13" fillId="0" borderId="0" xfId="0" applyFont="1" applyAlignment="1">
      <alignment vertical="top" wrapText="1"/>
    </xf>
    <xf numFmtId="39" fontId="9" fillId="0" borderId="0" xfId="0" applyFont="1" applyAlignment="1">
      <alignment horizontal="center" wrapText="1"/>
    </xf>
    <xf numFmtId="39" fontId="15" fillId="0" borderId="0" xfId="0" applyFont="1" applyAlignment="1">
      <alignment/>
    </xf>
    <xf numFmtId="39" fontId="9" fillId="0" borderId="0" xfId="0" applyNumberFormat="1" applyFont="1" applyBorder="1" applyAlignment="1">
      <alignment horizontal="center"/>
    </xf>
    <xf numFmtId="0" fontId="9" fillId="0" borderId="0" xfId="0" applyNumberFormat="1" applyFont="1" applyBorder="1" applyAlignment="1">
      <alignment horizontal="center"/>
    </xf>
    <xf numFmtId="39" fontId="7" fillId="0" borderId="0" xfId="0" applyFont="1" applyAlignment="1">
      <alignment horizontal="center"/>
    </xf>
    <xf numFmtId="39" fontId="9" fillId="0" borderId="0" xfId="0" applyFont="1" applyAlignment="1">
      <alignment horizontal="center"/>
    </xf>
    <xf numFmtId="39" fontId="10" fillId="0" borderId="0" xfId="0" applyFont="1" applyFill="1" applyAlignment="1">
      <alignment horizontal="center"/>
    </xf>
    <xf numFmtId="39" fontId="20" fillId="0" borderId="0" xfId="0" applyFont="1" applyAlignment="1">
      <alignment horizontal="left" wrapText="1"/>
    </xf>
    <xf numFmtId="39" fontId="10" fillId="0" borderId="0" xfId="0" applyFont="1" applyAlignment="1">
      <alignment horizontal="center"/>
    </xf>
    <xf numFmtId="0" fontId="7" fillId="0" borderId="0" xfId="0" applyNumberFormat="1" applyFont="1" applyAlignment="1" applyProtection="1">
      <alignment horizontal="center"/>
      <protection/>
    </xf>
    <xf numFmtId="0" fontId="10" fillId="0" borderId="0" xfId="0" applyNumberFormat="1" applyFont="1" applyAlignment="1" applyProtection="1">
      <alignment horizontal="center"/>
      <protection/>
    </xf>
    <xf numFmtId="0" fontId="9" fillId="0" borderId="0" xfId="0" applyNumberFormat="1" applyFont="1" applyAlignment="1" applyProtection="1">
      <alignment horizontal="center"/>
      <protection/>
    </xf>
    <xf numFmtId="0" fontId="20" fillId="0" borderId="0" xfId="20" applyNumberFormat="1" applyFont="1" applyAlignment="1">
      <alignment vertical="top" wrapText="1"/>
    </xf>
    <xf numFmtId="39" fontId="20" fillId="0" borderId="0" xfId="0" applyFont="1" applyFill="1" applyBorder="1" applyAlignment="1">
      <alignment horizontal="left" wrapText="1"/>
    </xf>
    <xf numFmtId="39" fontId="9" fillId="0" borderId="0" xfId="0" applyFont="1" applyFill="1" applyAlignment="1">
      <alignment horizontal="center"/>
    </xf>
    <xf numFmtId="39" fontId="0" fillId="0" borderId="0" xfId="0" applyAlignment="1">
      <alignment wrapText="1"/>
    </xf>
    <xf numFmtId="39" fontId="20" fillId="0" borderId="0" xfId="0" applyFont="1" applyAlignment="1">
      <alignment vertical="top" wrapText="1"/>
    </xf>
    <xf numFmtId="39" fontId="19" fillId="0" borderId="0" xfId="0" applyFont="1" applyAlignment="1">
      <alignment vertical="top" wrapText="1"/>
    </xf>
    <xf numFmtId="39" fontId="20" fillId="0" borderId="0" xfId="0" applyFont="1" applyFill="1" applyAlignment="1">
      <alignment horizontal="left" vertical="top" wrapText="1"/>
    </xf>
    <xf numFmtId="39" fontId="19" fillId="0" borderId="0" xfId="0" applyFont="1" applyFill="1" applyAlignment="1">
      <alignment horizontal="left" vertical="top" wrapText="1"/>
    </xf>
    <xf numFmtId="39" fontId="7" fillId="0" borderId="0" xfId="0" applyFont="1" applyAlignment="1">
      <alignment horizontal="center" wrapText="1"/>
    </xf>
    <xf numFmtId="39" fontId="9" fillId="0" borderId="0" xfId="0" applyFont="1" applyFill="1" applyAlignment="1">
      <alignment horizontal="center"/>
    </xf>
    <xf numFmtId="39" fontId="10" fillId="0" borderId="0" xfId="0" applyFont="1" applyAlignment="1">
      <alignment horizontal="center" wrapText="1"/>
    </xf>
    <xf numFmtId="39" fontId="20" fillId="0" borderId="0" xfId="21" applyFont="1" applyFill="1" applyAlignment="1">
      <alignment wrapText="1"/>
      <protection/>
    </xf>
    <xf numFmtId="39" fontId="0" fillId="0" borderId="0" xfId="0" applyFill="1" applyAlignment="1">
      <alignment wrapText="1"/>
    </xf>
    <xf numFmtId="39" fontId="9" fillId="0" borderId="0" xfId="0" applyFont="1" applyAlignment="1" quotePrefix="1">
      <alignment horizontal="center"/>
    </xf>
    <xf numFmtId="39" fontId="20" fillId="0" borderId="0" xfId="0" applyFont="1" applyFill="1" applyAlignment="1">
      <alignment horizontal="left" wrapText="1"/>
    </xf>
    <xf numFmtId="0" fontId="10" fillId="0" borderId="0" xfId="23" applyNumberFormat="1" applyFont="1" applyAlignment="1">
      <alignment horizontal="center"/>
      <protection/>
    </xf>
    <xf numFmtId="0" fontId="7" fillId="0" borderId="0" xfId="23" applyNumberFormat="1" applyFont="1" applyAlignment="1">
      <alignment horizontal="center"/>
      <protection/>
    </xf>
    <xf numFmtId="0" fontId="9" fillId="0" borderId="0" xfId="23" applyNumberFormat="1" applyFont="1" applyAlignment="1">
      <alignment horizontal="center"/>
      <protection/>
    </xf>
    <xf numFmtId="39" fontId="8" fillId="0" borderId="0" xfId="0" applyFont="1" applyAlignment="1">
      <alignment horizontal="center"/>
    </xf>
    <xf numFmtId="39" fontId="8" fillId="0" borderId="0" xfId="0" applyFont="1" applyAlignment="1">
      <alignment horizontal="left" vertical="top" wrapText="1"/>
    </xf>
    <xf numFmtId="39" fontId="43" fillId="0" borderId="0" xfId="0" applyFont="1" applyAlignment="1">
      <alignment horizontal="left" wrapText="1"/>
    </xf>
    <xf numFmtId="39" fontId="10" fillId="0" borderId="0" xfId="0" applyFont="1" applyBorder="1" applyAlignment="1">
      <alignment horizontal="center"/>
    </xf>
    <xf numFmtId="39" fontId="9" fillId="0" borderId="0" xfId="0" applyFont="1" applyFill="1" applyBorder="1" applyAlignment="1">
      <alignment vertical="top" wrapText="1"/>
    </xf>
    <xf numFmtId="39" fontId="0" fillId="0" borderId="0" xfId="0" applyAlignment="1">
      <alignment vertical="top" wrapText="1"/>
    </xf>
    <xf numFmtId="39" fontId="9" fillId="0" borderId="0" xfId="0" applyFont="1" applyFill="1" applyBorder="1" applyAlignment="1">
      <alignment vertical="justify" wrapText="1"/>
    </xf>
    <xf numFmtId="39" fontId="8" fillId="0" borderId="0" xfId="0" applyFont="1" applyFill="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ACE Financial Supplement March 2004" xfId="21"/>
    <cellStyle name="Normal_ACFS1204" xfId="22"/>
    <cellStyle name="Normal_EPS" xfId="23"/>
    <cellStyle name="Normal_INCSTMT" xfId="24"/>
    <cellStyle name="Normal_SHEQ" xfId="25"/>
    <cellStyle name="Percent" xfId="26"/>
  </cellStyles>
  <dxfs count="3">
    <dxf>
      <font>
        <color rgb="FFFFFFFF"/>
      </font>
      <fill>
        <patternFill>
          <bgColor rgb="FF0000FF"/>
        </patternFill>
      </fill>
      <border/>
    </dxf>
    <dxf>
      <font>
        <color rgb="FFFF0000"/>
      </font>
      <border/>
    </dxf>
    <dxf>
      <font>
        <b/>
        <i/>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2</xdr:col>
      <xdr:colOff>295275</xdr:colOff>
      <xdr:row>14</xdr:row>
      <xdr:rowOff>47625</xdr:rowOff>
    </xdr:to>
    <xdr:sp>
      <xdr:nvSpPr>
        <xdr:cNvPr id="1" name="Rectangle 2"/>
        <xdr:cNvSpPr>
          <a:spLocks/>
        </xdr:cNvSpPr>
      </xdr:nvSpPr>
      <xdr:spPr>
        <a:xfrm>
          <a:off x="0" y="1476375"/>
          <a:ext cx="1133475" cy="1181100"/>
        </a:xfrm>
        <a:prstGeom prst="rect">
          <a:avLst/>
        </a:prstGeom>
        <a:solidFill>
          <a:srgbClr val="7FBA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238125</xdr:colOff>
      <xdr:row>14</xdr:row>
      <xdr:rowOff>47625</xdr:rowOff>
    </xdr:from>
    <xdr:to>
      <xdr:col>2</xdr:col>
      <xdr:colOff>676275</xdr:colOff>
      <xdr:row>19</xdr:row>
      <xdr:rowOff>0</xdr:rowOff>
    </xdr:to>
    <xdr:sp>
      <xdr:nvSpPr>
        <xdr:cNvPr id="2" name="Rectangle 3"/>
        <xdr:cNvSpPr>
          <a:spLocks/>
        </xdr:cNvSpPr>
      </xdr:nvSpPr>
      <xdr:spPr>
        <a:xfrm>
          <a:off x="752475" y="2657475"/>
          <a:ext cx="762000" cy="1114425"/>
        </a:xfrm>
        <a:prstGeom prst="rect">
          <a:avLst/>
        </a:prstGeom>
        <a:solidFill>
          <a:srgbClr val="003F87"/>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238125</xdr:colOff>
      <xdr:row>0</xdr:row>
      <xdr:rowOff>152400</xdr:rowOff>
    </xdr:from>
    <xdr:to>
      <xdr:col>2</xdr:col>
      <xdr:colOff>1162050</xdr:colOff>
      <xdr:row>6</xdr:row>
      <xdr:rowOff>66675</xdr:rowOff>
    </xdr:to>
    <xdr:pic>
      <xdr:nvPicPr>
        <xdr:cNvPr id="3" name="Picture 8"/>
        <xdr:cNvPicPr preferRelativeResize="1">
          <a:picLocks noChangeAspect="1"/>
        </xdr:cNvPicPr>
      </xdr:nvPicPr>
      <xdr:blipFill>
        <a:blip r:embed="rId1"/>
        <a:srcRect l="6311" t="11895"/>
        <a:stretch>
          <a:fillRect/>
        </a:stretch>
      </xdr:blipFill>
      <xdr:spPr>
        <a:xfrm>
          <a:off x="238125" y="152400"/>
          <a:ext cx="1762125"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457200</xdr:colOff>
      <xdr:row>4</xdr:row>
      <xdr:rowOff>57150</xdr:rowOff>
    </xdr:to>
    <xdr:pic>
      <xdr:nvPicPr>
        <xdr:cNvPr id="1" name="Picture 2"/>
        <xdr:cNvPicPr preferRelativeResize="1">
          <a:picLocks noChangeAspect="1"/>
        </xdr:cNvPicPr>
      </xdr:nvPicPr>
      <xdr:blipFill>
        <a:blip r:embed="rId1"/>
        <a:srcRect l="15563" t="15953" b="-389"/>
        <a:stretch>
          <a:fillRect/>
        </a:stretch>
      </xdr:blipFill>
      <xdr:spPr>
        <a:xfrm>
          <a:off x="190500" y="0"/>
          <a:ext cx="6477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19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4</xdr:row>
      <xdr:rowOff>9525</xdr:rowOff>
    </xdr:to>
    <xdr:pic>
      <xdr:nvPicPr>
        <xdr:cNvPr id="1" name="Picture 10"/>
        <xdr:cNvPicPr preferRelativeResize="1">
          <a:picLocks noChangeAspect="1"/>
        </xdr:cNvPicPr>
      </xdr:nvPicPr>
      <xdr:blipFill>
        <a:blip r:embed="rId1"/>
        <a:srcRect l="15563" t="15953" b="-389"/>
        <a:stretch>
          <a:fillRect/>
        </a:stretch>
      </xdr:blipFill>
      <xdr:spPr>
        <a:xfrm>
          <a:off x="180975" y="0"/>
          <a:ext cx="647700" cy="657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38100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3</xdr:row>
      <xdr:rowOff>104775</xdr:rowOff>
    </xdr:to>
    <xdr:pic>
      <xdr:nvPicPr>
        <xdr:cNvPr id="1" name="Picture 13"/>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3</xdr:row>
      <xdr:rowOff>104775</xdr:rowOff>
    </xdr:to>
    <xdr:pic>
      <xdr:nvPicPr>
        <xdr:cNvPr id="1" name="Picture 36"/>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38100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447675</xdr:colOff>
      <xdr:row>4</xdr:row>
      <xdr:rowOff>0</xdr:rowOff>
    </xdr:to>
    <xdr:pic>
      <xdr:nvPicPr>
        <xdr:cNvPr id="1" name="Picture 9"/>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4</xdr:row>
      <xdr:rowOff>38100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66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304800</xdr:colOff>
      <xdr:row>4</xdr:row>
      <xdr:rowOff>0</xdr:rowOff>
    </xdr:to>
    <xdr:pic>
      <xdr:nvPicPr>
        <xdr:cNvPr id="1" name="Picture 2"/>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457200</xdr:colOff>
      <xdr:row>4</xdr:row>
      <xdr:rowOff>57150</xdr:rowOff>
    </xdr:to>
    <xdr:pic>
      <xdr:nvPicPr>
        <xdr:cNvPr id="1" name="Picture 5"/>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447675</xdr:colOff>
      <xdr:row>4</xdr:row>
      <xdr:rowOff>0</xdr:rowOff>
    </xdr:to>
    <xdr:pic>
      <xdr:nvPicPr>
        <xdr:cNvPr id="1" name="Picture 12"/>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476250</xdr:colOff>
      <xdr:row>4</xdr:row>
      <xdr:rowOff>9525</xdr:rowOff>
    </xdr:to>
    <xdr:pic>
      <xdr:nvPicPr>
        <xdr:cNvPr id="1" name="Picture 8"/>
        <xdr:cNvPicPr preferRelativeResize="1">
          <a:picLocks noChangeAspect="1"/>
        </xdr:cNvPicPr>
      </xdr:nvPicPr>
      <xdr:blipFill>
        <a:blip r:embed="rId1"/>
        <a:srcRect l="15563" t="15953" b="-389"/>
        <a:stretch>
          <a:fillRect/>
        </a:stretch>
      </xdr:blipFill>
      <xdr:spPr>
        <a:xfrm>
          <a:off x="152400" y="0"/>
          <a:ext cx="647700" cy="6572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323850</xdr:colOff>
      <xdr:row>4</xdr:row>
      <xdr:rowOff>19050</xdr:rowOff>
    </xdr:to>
    <xdr:pic>
      <xdr:nvPicPr>
        <xdr:cNvPr id="1" name="Picture 6"/>
        <xdr:cNvPicPr preferRelativeResize="1">
          <a:picLocks noChangeAspect="1"/>
        </xdr:cNvPicPr>
      </xdr:nvPicPr>
      <xdr:blipFill>
        <a:blip r:embed="rId1"/>
        <a:srcRect l="15563" t="15953" b="-389"/>
        <a:stretch>
          <a:fillRect/>
        </a:stretch>
      </xdr:blipFill>
      <xdr:spPr>
        <a:xfrm>
          <a:off x="152400" y="0"/>
          <a:ext cx="647700" cy="6572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428625</xdr:colOff>
      <xdr:row>4</xdr:row>
      <xdr:rowOff>0</xdr:rowOff>
    </xdr:to>
    <xdr:pic>
      <xdr:nvPicPr>
        <xdr:cNvPr id="1" name="Picture 41"/>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1</xdr:col>
      <xdr:colOff>638175</xdr:colOff>
      <xdr:row>4</xdr:row>
      <xdr:rowOff>57150</xdr:rowOff>
    </xdr:to>
    <xdr:pic>
      <xdr:nvPicPr>
        <xdr:cNvPr id="1" name="Picture 4"/>
        <xdr:cNvPicPr preferRelativeResize="1">
          <a:picLocks noChangeAspect="1"/>
        </xdr:cNvPicPr>
      </xdr:nvPicPr>
      <xdr:blipFill>
        <a:blip r:embed="rId1"/>
        <a:srcRect l="15563" t="15953" b="-389"/>
        <a:stretch>
          <a:fillRect/>
        </a:stretch>
      </xdr:blipFill>
      <xdr:spPr>
        <a:xfrm>
          <a:off x="152400" y="0"/>
          <a:ext cx="6477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476250</xdr:colOff>
      <xdr:row>4</xdr:row>
      <xdr:rowOff>57150</xdr:rowOff>
    </xdr:to>
    <xdr:pic>
      <xdr:nvPicPr>
        <xdr:cNvPr id="1" name="Picture 39"/>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2</xdr:col>
      <xdr:colOff>447675</xdr:colOff>
      <xdr:row>4</xdr:row>
      <xdr:rowOff>0</xdr:rowOff>
    </xdr:to>
    <xdr:pic>
      <xdr:nvPicPr>
        <xdr:cNvPr id="1" name="Picture 43"/>
        <xdr:cNvPicPr preferRelativeResize="1">
          <a:picLocks noChangeAspect="1"/>
        </xdr:cNvPicPr>
      </xdr:nvPicPr>
      <xdr:blipFill>
        <a:blip r:embed="rId1"/>
        <a:srcRect l="15563" t="15953" b="-389"/>
        <a:stretch>
          <a:fillRect/>
        </a:stretch>
      </xdr:blipFill>
      <xdr:spPr>
        <a:xfrm>
          <a:off x="95250" y="0"/>
          <a:ext cx="6477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457200</xdr:colOff>
      <xdr:row>4</xdr:row>
      <xdr:rowOff>85725</xdr:rowOff>
    </xdr:to>
    <xdr:pic>
      <xdr:nvPicPr>
        <xdr:cNvPr id="1" name="Picture 11"/>
        <xdr:cNvPicPr preferRelativeResize="1">
          <a:picLocks noChangeAspect="1"/>
        </xdr:cNvPicPr>
      </xdr:nvPicPr>
      <xdr:blipFill>
        <a:blip r:embed="rId1"/>
        <a:srcRect l="15563" t="15953" b="-389"/>
        <a:stretch>
          <a:fillRect/>
        </a:stretch>
      </xdr:blipFill>
      <xdr:spPr>
        <a:xfrm>
          <a:off x="190500" y="0"/>
          <a:ext cx="6477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6"/>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21"/>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13"/>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36"/>
  <sheetViews>
    <sheetView tabSelected="1" workbookViewId="0" topLeftCell="A1">
      <selection activeCell="C8" sqref="C8"/>
    </sheetView>
  </sheetViews>
  <sheetFormatPr defaultColWidth="9.33203125" defaultRowHeight="12.75"/>
  <cols>
    <col min="1" max="1" width="9" style="52" customWidth="1"/>
    <col min="2" max="2" width="5.66015625" style="52" customWidth="1"/>
    <col min="3" max="3" width="23.33203125" style="52" customWidth="1"/>
    <col min="4" max="8" width="9" style="52" customWidth="1"/>
    <col min="9" max="9" width="11" style="52" customWidth="1"/>
    <col min="10" max="10" width="11.16015625" style="52" customWidth="1"/>
    <col min="11" max="14" width="9" style="52" customWidth="1"/>
    <col min="15" max="15" width="1.83203125" style="52" customWidth="1"/>
    <col min="16" max="16384" width="9" style="52" customWidth="1"/>
  </cols>
  <sheetData>
    <row r="1" spans="1:10" ht="12.75">
      <c r="A1" s="52" t="s">
        <v>200</v>
      </c>
      <c r="J1" s="93"/>
    </row>
    <row r="2" ht="12.75">
      <c r="J2" s="93"/>
    </row>
    <row r="3" ht="12.75"/>
    <row r="4" ht="12.75"/>
    <row r="5" ht="12.75"/>
    <row r="6" spans="7:12" ht="12.75">
      <c r="G6" s="232"/>
      <c r="I6" s="93"/>
      <c r="J6" s="93"/>
      <c r="K6" s="93"/>
      <c r="L6" s="93"/>
    </row>
    <row r="7" ht="12.75">
      <c r="K7" s="3"/>
    </row>
    <row r="8" spans="7:10" ht="26.25">
      <c r="G8" s="93"/>
      <c r="H8" s="579"/>
      <c r="I8" s="580"/>
      <c r="J8" s="518"/>
    </row>
    <row r="9" spans="8:13" ht="22.5" customHeight="1">
      <c r="H9" s="579"/>
      <c r="J9" s="583"/>
      <c r="L9" s="613"/>
      <c r="M9" s="613"/>
    </row>
    <row r="10" spans="6:8" ht="16.5" customHeight="1">
      <c r="F10" s="145"/>
      <c r="G10" s="93"/>
      <c r="H10" s="93"/>
    </row>
    <row r="11" ht="12.75">
      <c r="L11" s="500"/>
    </row>
    <row r="12" spans="3:9" ht="12.75">
      <c r="C12" s="146"/>
      <c r="D12" s="146"/>
      <c r="E12" s="146"/>
      <c r="F12" s="146"/>
      <c r="G12" s="146"/>
      <c r="H12" s="146"/>
      <c r="I12" s="146"/>
    </row>
    <row r="13" spans="3:13" ht="12.75">
      <c r="C13" s="147"/>
      <c r="D13" s="147"/>
      <c r="E13" s="147"/>
      <c r="F13" s="147"/>
      <c r="G13" s="147"/>
      <c r="H13" s="147"/>
      <c r="I13" s="147"/>
      <c r="J13" s="586"/>
      <c r="L13" s="146"/>
      <c r="M13" s="146"/>
    </row>
    <row r="14" spans="3:13" ht="12.75">
      <c r="C14" s="147"/>
      <c r="D14" s="147"/>
      <c r="E14" s="147"/>
      <c r="F14" s="148"/>
      <c r="G14" s="147"/>
      <c r="H14" s="147"/>
      <c r="I14" s="147"/>
      <c r="J14" s="586"/>
      <c r="L14" s="146"/>
      <c r="M14" s="146"/>
    </row>
    <row r="15" spans="3:13" ht="23.25">
      <c r="C15" s="147"/>
      <c r="D15" s="149" t="s">
        <v>358</v>
      </c>
      <c r="E15" s="147"/>
      <c r="F15" s="147"/>
      <c r="G15" s="147"/>
      <c r="H15" s="147"/>
      <c r="I15" s="147"/>
      <c r="J15" s="586"/>
      <c r="L15" s="146"/>
      <c r="M15" s="146"/>
    </row>
    <row r="16" spans="3:14" ht="12.75">
      <c r="C16" s="147"/>
      <c r="D16" s="147"/>
      <c r="E16" s="147"/>
      <c r="F16" s="147"/>
      <c r="G16" s="147"/>
      <c r="H16" s="147"/>
      <c r="I16" s="147"/>
      <c r="M16" s="146"/>
      <c r="N16" s="150"/>
    </row>
    <row r="17" spans="3:10" ht="12.75">
      <c r="C17" s="146"/>
      <c r="D17" s="146"/>
      <c r="E17" s="146"/>
      <c r="F17" s="146"/>
      <c r="G17" s="146"/>
      <c r="H17" s="146"/>
      <c r="I17" s="146"/>
      <c r="J17" s="586"/>
    </row>
    <row r="18" spans="4:11" ht="15.75">
      <c r="D18" s="151" t="s">
        <v>417</v>
      </c>
      <c r="K18" s="585"/>
    </row>
    <row r="19" ht="27" customHeight="1">
      <c r="D19" s="248"/>
    </row>
    <row r="20" ht="27" customHeight="1">
      <c r="D20" s="152"/>
    </row>
    <row r="21" ht="27" customHeight="1">
      <c r="D21" s="152"/>
    </row>
    <row r="22" ht="12" customHeight="1">
      <c r="D22" s="152"/>
    </row>
    <row r="23" spans="1:16" ht="12.75" customHeight="1">
      <c r="A23" s="608" t="s">
        <v>230</v>
      </c>
      <c r="B23" s="609"/>
      <c r="D23" s="614" t="s">
        <v>341</v>
      </c>
      <c r="E23" s="615"/>
      <c r="F23" s="615"/>
      <c r="G23" s="615"/>
      <c r="H23" s="615"/>
      <c r="I23" s="615"/>
      <c r="J23" s="615"/>
      <c r="K23" s="615"/>
      <c r="L23" s="615"/>
      <c r="M23" s="615"/>
      <c r="N23" s="615"/>
      <c r="O23" s="153"/>
      <c r="P23" s="23"/>
    </row>
    <row r="24" spans="1:15" ht="14.25" customHeight="1">
      <c r="A24" s="610" t="s">
        <v>70</v>
      </c>
      <c r="B24" s="610"/>
      <c r="C24" s="610"/>
      <c r="D24" s="615"/>
      <c r="E24" s="615"/>
      <c r="F24" s="615"/>
      <c r="G24" s="615"/>
      <c r="H24" s="615"/>
      <c r="I24" s="615"/>
      <c r="J24" s="615"/>
      <c r="K24" s="615"/>
      <c r="L24" s="615"/>
      <c r="M24" s="615"/>
      <c r="N24" s="615"/>
      <c r="O24" s="153"/>
    </row>
    <row r="25" spans="1:17" ht="12.75" customHeight="1">
      <c r="A25" s="96" t="s">
        <v>214</v>
      </c>
      <c r="B25" s="159"/>
      <c r="C25" s="159"/>
      <c r="D25" s="616"/>
      <c r="E25" s="616"/>
      <c r="F25" s="616"/>
      <c r="G25" s="616"/>
      <c r="H25" s="616"/>
      <c r="I25" s="616"/>
      <c r="J25" s="616"/>
      <c r="K25" s="616"/>
      <c r="L25" s="616"/>
      <c r="M25" s="616"/>
      <c r="N25" s="616"/>
      <c r="P25" s="71"/>
      <c r="Q25" s="71"/>
    </row>
    <row r="26" spans="1:17" ht="12.75" customHeight="1">
      <c r="A26" s="96" t="s">
        <v>213</v>
      </c>
      <c r="B26" s="159"/>
      <c r="C26" s="159"/>
      <c r="D26" s="71"/>
      <c r="E26" s="71"/>
      <c r="F26" s="71"/>
      <c r="G26" s="71"/>
      <c r="H26" s="71"/>
      <c r="I26" s="71"/>
      <c r="J26" s="71"/>
      <c r="K26" s="71"/>
      <c r="L26" s="71"/>
      <c r="M26" s="71"/>
      <c r="N26" s="71"/>
      <c r="P26" s="71"/>
      <c r="Q26" s="71"/>
    </row>
    <row r="27" spans="1:17" ht="10.5" customHeight="1">
      <c r="A27" s="96" t="s">
        <v>215</v>
      </c>
      <c r="B27" s="159"/>
      <c r="C27" s="159"/>
      <c r="D27" s="611" t="s">
        <v>68</v>
      </c>
      <c r="E27" s="611"/>
      <c r="F27" s="611"/>
      <c r="G27" s="611"/>
      <c r="H27" s="611"/>
      <c r="I27" s="611"/>
      <c r="J27" s="611"/>
      <c r="K27" s="66"/>
      <c r="L27" s="66"/>
      <c r="M27" s="66"/>
      <c r="N27" s="66"/>
      <c r="O27" s="66"/>
      <c r="P27" s="66"/>
      <c r="Q27" s="66"/>
    </row>
    <row r="28" spans="4:17" ht="48" customHeight="1">
      <c r="D28" s="612" t="s">
        <v>353</v>
      </c>
      <c r="E28" s="612"/>
      <c r="F28" s="612"/>
      <c r="G28" s="612"/>
      <c r="H28" s="612"/>
      <c r="I28" s="612"/>
      <c r="J28" s="612"/>
      <c r="K28" s="612"/>
      <c r="L28" s="612"/>
      <c r="M28" s="612"/>
      <c r="N28" s="612"/>
      <c r="O28" s="71"/>
      <c r="P28" s="71"/>
      <c r="Q28" s="71"/>
    </row>
    <row r="29" spans="4:17" ht="38.25" customHeight="1">
      <c r="D29" s="612" t="s">
        <v>293</v>
      </c>
      <c r="E29" s="612"/>
      <c r="F29" s="612"/>
      <c r="G29" s="612"/>
      <c r="H29" s="612"/>
      <c r="I29" s="612"/>
      <c r="J29" s="612"/>
      <c r="K29" s="612"/>
      <c r="L29" s="612"/>
      <c r="M29" s="612"/>
      <c r="N29" s="612"/>
      <c r="O29" s="71"/>
      <c r="P29" s="71"/>
      <c r="Q29" s="71"/>
    </row>
    <row r="30" spans="4:19" s="100" customFormat="1" ht="16.5" customHeight="1">
      <c r="D30" s="617"/>
      <c r="E30" s="617"/>
      <c r="F30" s="617"/>
      <c r="G30" s="617"/>
      <c r="H30" s="617"/>
      <c r="I30" s="617"/>
      <c r="J30" s="617"/>
      <c r="K30" s="617"/>
      <c r="L30" s="617"/>
      <c r="M30" s="617"/>
      <c r="N30" s="617"/>
      <c r="O30" s="155"/>
      <c r="P30" s="35"/>
      <c r="Q30" s="35"/>
      <c r="R30" s="35"/>
      <c r="S30" s="35"/>
    </row>
    <row r="31" spans="4:19" s="100" customFormat="1" ht="12.75" customHeight="1">
      <c r="D31" s="52"/>
      <c r="E31" s="52"/>
      <c r="F31" s="52"/>
      <c r="G31" s="52"/>
      <c r="H31" s="52"/>
      <c r="I31" s="52"/>
      <c r="J31" s="52"/>
      <c r="K31" s="52"/>
      <c r="L31" s="52"/>
      <c r="M31" s="52"/>
      <c r="N31" s="52"/>
      <c r="O31" s="155"/>
      <c r="P31" s="35"/>
      <c r="Q31" s="35"/>
      <c r="R31" s="35"/>
      <c r="S31" s="35"/>
    </row>
    <row r="32" spans="4:19" s="100" customFormat="1" ht="12.75" customHeight="1">
      <c r="D32" s="52"/>
      <c r="E32" s="52"/>
      <c r="F32" s="52"/>
      <c r="G32" s="52"/>
      <c r="H32" s="52"/>
      <c r="I32" s="52"/>
      <c r="J32" s="52"/>
      <c r="K32" s="52"/>
      <c r="L32" s="52"/>
      <c r="M32" s="52"/>
      <c r="N32" s="52"/>
      <c r="O32" s="155"/>
      <c r="P32" s="35"/>
      <c r="Q32" s="35"/>
      <c r="R32" s="35"/>
      <c r="S32" s="35"/>
    </row>
    <row r="33" spans="1:19" s="100" customFormat="1" ht="12.75" customHeight="1">
      <c r="A33" s="76"/>
      <c r="B33" s="76"/>
      <c r="C33" s="76"/>
      <c r="D33" s="52"/>
      <c r="E33" s="52"/>
      <c r="F33" s="52"/>
      <c r="G33" s="52"/>
      <c r="H33" s="52"/>
      <c r="I33" s="52"/>
      <c r="J33" s="52"/>
      <c r="K33" s="52"/>
      <c r="L33" s="52"/>
      <c r="M33" s="52"/>
      <c r="N33" s="52"/>
      <c r="O33" s="155"/>
      <c r="P33" s="35"/>
      <c r="Q33" s="35"/>
      <c r="R33" s="35"/>
      <c r="S33" s="35"/>
    </row>
    <row r="34" spans="1:19" s="100" customFormat="1" ht="12.75" customHeight="1">
      <c r="A34" s="76"/>
      <c r="B34" s="76"/>
      <c r="C34" s="76"/>
      <c r="D34" s="52"/>
      <c r="E34" s="52"/>
      <c r="F34" s="52"/>
      <c r="G34" s="52"/>
      <c r="H34" s="52"/>
      <c r="I34" s="52"/>
      <c r="J34" s="52"/>
      <c r="K34" s="52"/>
      <c r="L34" s="52"/>
      <c r="M34" s="52"/>
      <c r="N34" s="52"/>
      <c r="O34" s="155"/>
      <c r="P34" s="35"/>
      <c r="Q34" s="35"/>
      <c r="R34" s="35"/>
      <c r="S34" s="35"/>
    </row>
    <row r="35" spans="1:19" s="100" customFormat="1" ht="12.75" customHeight="1">
      <c r="A35" s="76"/>
      <c r="B35" s="76"/>
      <c r="C35" s="76"/>
      <c r="D35" s="52"/>
      <c r="E35" s="52"/>
      <c r="F35" s="52"/>
      <c r="G35" s="52"/>
      <c r="H35" s="52"/>
      <c r="I35" s="52"/>
      <c r="J35" s="52"/>
      <c r="K35" s="52"/>
      <c r="L35" s="52"/>
      <c r="M35" s="52"/>
      <c r="N35" s="52"/>
      <c r="O35" s="155"/>
      <c r="P35" s="35"/>
      <c r="Q35" s="35"/>
      <c r="R35" s="35"/>
      <c r="S35" s="35"/>
    </row>
    <row r="36" spans="2:19" s="100" customFormat="1" ht="9" customHeight="1">
      <c r="B36" s="156"/>
      <c r="C36" s="154"/>
      <c r="D36" s="52"/>
      <c r="E36" s="52"/>
      <c r="F36" s="52"/>
      <c r="G36" s="52"/>
      <c r="H36" s="52"/>
      <c r="I36" s="52"/>
      <c r="J36" s="52"/>
      <c r="K36" s="52"/>
      <c r="L36" s="52"/>
      <c r="M36" s="52"/>
      <c r="N36" s="52"/>
      <c r="O36" s="66"/>
      <c r="P36" s="35"/>
      <c r="Q36" s="35"/>
      <c r="R36" s="35"/>
      <c r="S36" s="35"/>
    </row>
  </sheetData>
  <sheetProtection/>
  <mergeCells count="8">
    <mergeCell ref="L9:M9"/>
    <mergeCell ref="D23:N25"/>
    <mergeCell ref="D28:N28"/>
    <mergeCell ref="D30:N30"/>
    <mergeCell ref="A23:B23"/>
    <mergeCell ref="A24:C24"/>
    <mergeCell ref="D27:J27"/>
    <mergeCell ref="D29:N29"/>
  </mergeCells>
  <printOptions/>
  <pageMargins left="0.5" right="0.5" top="0.5" bottom="0.55" header="0.75" footer="0.3"/>
  <pageSetup horizontalDpi="600" verticalDpi="600" orientation="landscape" r:id="rId3"/>
  <drawing r:id="rId2"/>
  <legacyDrawing r:id="rId1"/>
</worksheet>
</file>

<file path=xl/worksheets/sheet10.xml><?xml version="1.0" encoding="utf-8"?>
<worksheet xmlns="http://schemas.openxmlformats.org/spreadsheetml/2006/main" xmlns:r="http://schemas.openxmlformats.org/officeDocument/2006/relationships">
  <sheetPr codeName="Sheet19"/>
  <dimension ref="C1:S45"/>
  <sheetViews>
    <sheetView workbookViewId="0" topLeftCell="A1">
      <selection activeCell="A1" sqref="A1"/>
    </sheetView>
  </sheetViews>
  <sheetFormatPr defaultColWidth="9.33203125" defaultRowHeight="12.75"/>
  <cols>
    <col min="1" max="2" width="3.33203125" style="1" customWidth="1"/>
    <col min="3" max="3" width="40"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1" customWidth="1"/>
    <col min="16" max="16" width="8.83203125" style="1" customWidth="1"/>
    <col min="17" max="17" width="2.33203125" style="1" customWidth="1"/>
    <col min="18" max="18" width="8.83203125" style="1" customWidth="1"/>
    <col min="19" max="19" width="2.33203125" style="7" customWidth="1"/>
    <col min="20" max="16384" width="9" style="1" customWidth="1"/>
  </cols>
  <sheetData>
    <row r="1" spans="3:19" ht="12.75">
      <c r="C1" s="622" t="s">
        <v>89</v>
      </c>
      <c r="D1" s="622"/>
      <c r="E1" s="622"/>
      <c r="F1" s="622"/>
      <c r="G1" s="622"/>
      <c r="H1" s="622"/>
      <c r="I1" s="622"/>
      <c r="J1" s="622"/>
      <c r="K1" s="622"/>
      <c r="L1" s="622"/>
      <c r="M1" s="622"/>
      <c r="N1" s="622"/>
      <c r="O1" s="622"/>
      <c r="P1" s="622"/>
      <c r="Q1" s="622"/>
      <c r="R1" s="622"/>
      <c r="S1" s="622"/>
    </row>
    <row r="2" spans="3:19" ht="12">
      <c r="C2" s="623" t="s">
        <v>75</v>
      </c>
      <c r="D2" s="623"/>
      <c r="E2" s="623"/>
      <c r="F2" s="623"/>
      <c r="G2" s="623"/>
      <c r="H2" s="623"/>
      <c r="I2" s="623"/>
      <c r="J2" s="623"/>
      <c r="K2" s="623"/>
      <c r="L2" s="623"/>
      <c r="M2" s="623"/>
      <c r="N2" s="623"/>
      <c r="O2" s="623"/>
      <c r="P2" s="623"/>
      <c r="Q2" s="623"/>
      <c r="R2" s="623"/>
      <c r="S2" s="623"/>
    </row>
    <row r="3" spans="3:19" ht="12">
      <c r="C3" s="626" t="s">
        <v>147</v>
      </c>
      <c r="D3" s="626"/>
      <c r="E3" s="626"/>
      <c r="F3" s="626"/>
      <c r="G3" s="626"/>
      <c r="H3" s="626"/>
      <c r="I3" s="626"/>
      <c r="J3" s="626"/>
      <c r="K3" s="626"/>
      <c r="L3" s="626"/>
      <c r="M3" s="626"/>
      <c r="N3" s="626"/>
      <c r="O3" s="626"/>
      <c r="P3" s="626"/>
      <c r="Q3" s="626"/>
      <c r="R3" s="626"/>
      <c r="S3" s="626"/>
    </row>
    <row r="4" spans="3:19" ht="12">
      <c r="C4" s="626" t="s">
        <v>163</v>
      </c>
      <c r="D4" s="626"/>
      <c r="E4" s="626"/>
      <c r="F4" s="626"/>
      <c r="G4" s="626"/>
      <c r="H4" s="626"/>
      <c r="I4" s="626"/>
      <c r="J4" s="626"/>
      <c r="K4" s="626"/>
      <c r="L4" s="626"/>
      <c r="M4" s="626"/>
      <c r="N4" s="626"/>
      <c r="O4" s="626"/>
      <c r="P4" s="626"/>
      <c r="Q4" s="626"/>
      <c r="R4" s="626"/>
      <c r="S4" s="626"/>
    </row>
    <row r="5" spans="3:19" ht="12">
      <c r="C5" s="507"/>
      <c r="D5" s="89"/>
      <c r="E5" s="89"/>
      <c r="F5" s="89"/>
      <c r="G5" s="89"/>
      <c r="H5" s="89"/>
      <c r="I5" s="89"/>
      <c r="J5" s="89"/>
      <c r="K5" s="89"/>
      <c r="L5" s="89"/>
      <c r="M5" s="89"/>
      <c r="N5" s="89"/>
      <c r="O5" s="89"/>
      <c r="P5" s="89"/>
      <c r="Q5" s="89"/>
      <c r="R5" s="89"/>
      <c r="S5" s="481"/>
    </row>
    <row r="6" spans="3:18" ht="12.75">
      <c r="C6" s="3" t="s">
        <v>81</v>
      </c>
      <c r="D6" s="3"/>
      <c r="E6" s="3"/>
      <c r="F6" s="3"/>
      <c r="G6" s="3"/>
      <c r="H6" s="3"/>
      <c r="I6" s="3"/>
      <c r="J6" s="3"/>
      <c r="K6" s="3"/>
      <c r="N6" s="421" t="s">
        <v>256</v>
      </c>
      <c r="O6" s="410"/>
      <c r="P6" s="421" t="s">
        <v>256</v>
      </c>
      <c r="R6" s="421" t="s">
        <v>17</v>
      </c>
    </row>
    <row r="7" spans="4:19" ht="11.25">
      <c r="D7" s="4" t="s">
        <v>428</v>
      </c>
      <c r="E7" s="4"/>
      <c r="F7" s="4" t="s">
        <v>375</v>
      </c>
      <c r="G7" s="4"/>
      <c r="H7" s="4" t="s">
        <v>361</v>
      </c>
      <c r="I7" s="4"/>
      <c r="J7" s="4" t="s">
        <v>354</v>
      </c>
      <c r="K7" s="4"/>
      <c r="L7" s="4" t="s">
        <v>352</v>
      </c>
      <c r="M7" s="4"/>
      <c r="N7" s="22">
        <v>2007</v>
      </c>
      <c r="O7" s="7"/>
      <c r="P7" s="22">
        <v>2006</v>
      </c>
      <c r="Q7" s="4"/>
      <c r="R7" s="22">
        <v>2006</v>
      </c>
      <c r="S7" s="5"/>
    </row>
    <row r="8" spans="10:12" ht="13.5" customHeight="1">
      <c r="J8" s="167"/>
      <c r="L8" s="167"/>
    </row>
    <row r="9" spans="3:19" ht="11.25" customHeight="1">
      <c r="C9" s="1" t="s">
        <v>124</v>
      </c>
      <c r="D9" s="37">
        <f>+'Segment  2007 Qtr'!G10</f>
        <v>1621</v>
      </c>
      <c r="F9" s="37">
        <v>1659</v>
      </c>
      <c r="G9" s="31"/>
      <c r="H9" s="37">
        <v>1441</v>
      </c>
      <c r="I9" s="31"/>
      <c r="J9" s="31">
        <v>1387</v>
      </c>
      <c r="K9" s="31"/>
      <c r="L9" s="31">
        <v>1485</v>
      </c>
      <c r="M9" s="31"/>
      <c r="N9" s="31">
        <f aca="true" t="shared" si="0" ref="N9:N14">+F9+D9</f>
        <v>3280</v>
      </c>
      <c r="O9" s="31"/>
      <c r="P9" s="31">
        <v>3069</v>
      </c>
      <c r="Q9" s="31"/>
      <c r="R9" s="31">
        <v>5897</v>
      </c>
      <c r="S9" s="32"/>
    </row>
    <row r="10" spans="3:19" ht="11.25" customHeight="1">
      <c r="C10" s="1" t="s">
        <v>125</v>
      </c>
      <c r="D10" s="53">
        <f>+'Segment  2007 Qtr'!G11</f>
        <v>1166</v>
      </c>
      <c r="F10" s="53">
        <v>1192</v>
      </c>
      <c r="G10" s="53"/>
      <c r="H10" s="53">
        <v>1059</v>
      </c>
      <c r="I10" s="53"/>
      <c r="J10" s="53">
        <v>978</v>
      </c>
      <c r="K10" s="53"/>
      <c r="L10" s="53">
        <v>1083</v>
      </c>
      <c r="M10" s="40"/>
      <c r="N10" s="53">
        <f t="shared" si="0"/>
        <v>2358</v>
      </c>
      <c r="O10" s="40"/>
      <c r="P10" s="53">
        <v>2229</v>
      </c>
      <c r="Q10" s="40"/>
      <c r="R10" s="53">
        <v>4266</v>
      </c>
      <c r="S10" s="85"/>
    </row>
    <row r="11" spans="3:19" ht="11.25" customHeight="1">
      <c r="C11" s="1" t="s">
        <v>126</v>
      </c>
      <c r="D11" s="53">
        <f>+'Segment  2007 Qtr'!G12</f>
        <v>1141</v>
      </c>
      <c r="F11" s="53">
        <v>1112</v>
      </c>
      <c r="G11" s="53"/>
      <c r="H11" s="53">
        <v>1097</v>
      </c>
      <c r="I11" s="53"/>
      <c r="J11" s="53">
        <v>1099</v>
      </c>
      <c r="K11" s="53"/>
      <c r="L11" s="53">
        <v>1086</v>
      </c>
      <c r="M11" s="40"/>
      <c r="N11" s="53">
        <f t="shared" si="0"/>
        <v>2253</v>
      </c>
      <c r="O11" s="40"/>
      <c r="P11" s="53">
        <v>2125</v>
      </c>
      <c r="Q11" s="40"/>
      <c r="R11" s="53">
        <v>4321</v>
      </c>
      <c r="S11" s="85"/>
    </row>
    <row r="12" spans="3:19" ht="11.25" customHeight="1">
      <c r="C12" s="1" t="s">
        <v>119</v>
      </c>
      <c r="D12" s="53">
        <f>+'Segment  2007 Qtr'!G13</f>
        <v>614</v>
      </c>
      <c r="F12" s="53">
        <v>564</v>
      </c>
      <c r="G12" s="53"/>
      <c r="H12" s="53">
        <v>576</v>
      </c>
      <c r="I12" s="53"/>
      <c r="J12" s="53">
        <v>532</v>
      </c>
      <c r="K12" s="53"/>
      <c r="L12" s="53">
        <v>585</v>
      </c>
      <c r="M12" s="40"/>
      <c r="N12" s="53">
        <f t="shared" si="0"/>
        <v>1178</v>
      </c>
      <c r="O12" s="40"/>
      <c r="P12" s="53">
        <v>1151</v>
      </c>
      <c r="Q12" s="40"/>
      <c r="R12" s="53">
        <v>2259</v>
      </c>
      <c r="S12" s="85"/>
    </row>
    <row r="13" spans="3:19" ht="11.25" customHeight="1">
      <c r="C13" s="1" t="s">
        <v>129</v>
      </c>
      <c r="D13" s="53">
        <f>+'Segment  2007 Qtr'!G15</f>
        <v>230</v>
      </c>
      <c r="F13" s="53">
        <v>224</v>
      </c>
      <c r="G13" s="53"/>
      <c r="H13" s="53">
        <v>226</v>
      </c>
      <c r="I13" s="53"/>
      <c r="J13" s="53">
        <v>217</v>
      </c>
      <c r="K13" s="53"/>
      <c r="L13" s="53">
        <v>219</v>
      </c>
      <c r="M13" s="40"/>
      <c r="N13" s="53">
        <f t="shared" si="0"/>
        <v>454</v>
      </c>
      <c r="O13" s="40"/>
      <c r="P13" s="53">
        <v>413</v>
      </c>
      <c r="Q13" s="40"/>
      <c r="R13" s="53">
        <v>856</v>
      </c>
      <c r="S13" s="85"/>
    </row>
    <row r="14" spans="3:19" ht="11.25" customHeight="1">
      <c r="C14" s="1" t="s">
        <v>127</v>
      </c>
      <c r="D14" s="53">
        <f>+'Segment  2007 Qtr'!G16</f>
        <v>162</v>
      </c>
      <c r="E14" s="53"/>
      <c r="F14" s="53">
        <v>162</v>
      </c>
      <c r="G14" s="53"/>
      <c r="H14" s="53">
        <v>157</v>
      </c>
      <c r="I14" s="53"/>
      <c r="J14" s="53">
        <v>155</v>
      </c>
      <c r="K14" s="53"/>
      <c r="L14" s="53">
        <v>152</v>
      </c>
      <c r="M14" s="85"/>
      <c r="N14" s="53">
        <f t="shared" si="0"/>
        <v>324</v>
      </c>
      <c r="O14" s="40"/>
      <c r="P14" s="53">
        <v>297</v>
      </c>
      <c r="Q14" s="85"/>
      <c r="R14" s="53">
        <v>609</v>
      </c>
      <c r="S14" s="85"/>
    </row>
    <row r="15" spans="3:19" ht="11.25" customHeight="1">
      <c r="C15" s="1" t="s">
        <v>55</v>
      </c>
      <c r="D15" s="430">
        <f>+D11-D12-D13-D14</f>
        <v>135</v>
      </c>
      <c r="E15" s="430"/>
      <c r="F15" s="430">
        <f>+F11-F12-F13-F14</f>
        <v>162</v>
      </c>
      <c r="G15" s="430"/>
      <c r="H15" s="430">
        <f>+H11-H12-H13-H14</f>
        <v>138</v>
      </c>
      <c r="I15" s="430"/>
      <c r="J15" s="430">
        <f>+J11-J12-J13-J14</f>
        <v>195</v>
      </c>
      <c r="K15" s="430"/>
      <c r="L15" s="430">
        <f>+L11-L12-L13-L14</f>
        <v>130</v>
      </c>
      <c r="M15" s="430"/>
      <c r="N15" s="430">
        <f>+N11-N12-N13-N14</f>
        <v>297</v>
      </c>
      <c r="O15" s="259"/>
      <c r="P15" s="430">
        <f>+P11-P12-P13-P14</f>
        <v>264</v>
      </c>
      <c r="Q15" s="430"/>
      <c r="R15" s="430">
        <f>+R11-R12-R13-R14</f>
        <v>597</v>
      </c>
      <c r="S15" s="431"/>
    </row>
    <row r="16" spans="3:19" ht="7.5" customHeight="1">
      <c r="C16" s="24"/>
      <c r="D16" s="432"/>
      <c r="E16" s="24"/>
      <c r="F16" s="432"/>
      <c r="G16" s="432"/>
      <c r="H16" s="432"/>
      <c r="I16" s="432"/>
      <c r="J16" s="432"/>
      <c r="K16" s="432"/>
      <c r="L16" s="432"/>
      <c r="M16" s="432"/>
      <c r="N16" s="432"/>
      <c r="O16" s="127"/>
      <c r="P16" s="432"/>
      <c r="Q16" s="432"/>
      <c r="R16" s="432"/>
      <c r="S16" s="551"/>
    </row>
    <row r="17" spans="3:19" ht="11.25" customHeight="1">
      <c r="C17" s="1" t="s">
        <v>7</v>
      </c>
      <c r="D17" s="53">
        <f>+'Segment  2007 Qtr'!G19</f>
        <v>111</v>
      </c>
      <c r="F17" s="53">
        <v>104</v>
      </c>
      <c r="G17" s="53"/>
      <c r="H17" s="53">
        <v>97</v>
      </c>
      <c r="I17" s="53"/>
      <c r="J17" s="53">
        <v>97</v>
      </c>
      <c r="K17" s="53"/>
      <c r="L17" s="53">
        <v>91</v>
      </c>
      <c r="M17" s="433"/>
      <c r="N17" s="53">
        <f>+F17+D17</f>
        <v>215</v>
      </c>
      <c r="O17" s="40"/>
      <c r="P17" s="53">
        <v>176</v>
      </c>
      <c r="Q17" s="433"/>
      <c r="R17" s="53">
        <v>370</v>
      </c>
      <c r="S17" s="424"/>
    </row>
    <row r="18" spans="3:19" ht="11.25" customHeight="1">
      <c r="C18" s="173" t="s">
        <v>166</v>
      </c>
      <c r="D18" s="53">
        <f>+'Segment  2007 Qtr'!G20</f>
        <v>-27</v>
      </c>
      <c r="E18" s="173"/>
      <c r="F18" s="53">
        <v>-26</v>
      </c>
      <c r="G18" s="53"/>
      <c r="H18" s="53">
        <v>8</v>
      </c>
      <c r="I18" s="53"/>
      <c r="J18" s="53">
        <v>-32</v>
      </c>
      <c r="K18" s="53"/>
      <c r="L18" s="53">
        <v>4</v>
      </c>
      <c r="M18" s="53"/>
      <c r="N18" s="53">
        <f>+F18+D18</f>
        <v>-53</v>
      </c>
      <c r="O18" s="40"/>
      <c r="P18" s="53">
        <v>8</v>
      </c>
      <c r="Q18" s="53"/>
      <c r="R18" s="53">
        <v>-16</v>
      </c>
      <c r="S18" s="424"/>
    </row>
    <row r="19" spans="3:19" ht="11.25" customHeight="1">
      <c r="C19" s="1" t="s">
        <v>139</v>
      </c>
      <c r="D19" s="53">
        <f>+'Segment  2007 Qtr'!G21</f>
        <v>0</v>
      </c>
      <c r="F19" s="53">
        <v>0</v>
      </c>
      <c r="G19" s="53"/>
      <c r="H19" s="53">
        <v>0</v>
      </c>
      <c r="I19" s="53"/>
      <c r="J19" s="53">
        <v>0</v>
      </c>
      <c r="K19" s="53"/>
      <c r="L19" s="53">
        <v>0</v>
      </c>
      <c r="M19" s="53"/>
      <c r="N19" s="53">
        <f>+F19+D19</f>
        <v>0</v>
      </c>
      <c r="O19" s="40"/>
      <c r="P19" s="53">
        <v>0</v>
      </c>
      <c r="Q19" s="53"/>
      <c r="R19" s="53">
        <v>0</v>
      </c>
      <c r="S19" s="424"/>
    </row>
    <row r="20" spans="3:19" ht="11.25" customHeight="1">
      <c r="C20" s="1" t="s">
        <v>246</v>
      </c>
      <c r="D20" s="53">
        <f>+'Segment  2007 Qtr'!G22</f>
        <v>1</v>
      </c>
      <c r="F20" s="53">
        <v>3</v>
      </c>
      <c r="G20" s="53"/>
      <c r="H20" s="53">
        <v>7</v>
      </c>
      <c r="I20" s="53"/>
      <c r="J20" s="53">
        <v>-3</v>
      </c>
      <c r="K20" s="53"/>
      <c r="L20" s="53">
        <v>0</v>
      </c>
      <c r="M20" s="53"/>
      <c r="N20" s="53">
        <f>+F20+D20</f>
        <v>4</v>
      </c>
      <c r="O20" s="40"/>
      <c r="P20" s="53">
        <v>6</v>
      </c>
      <c r="Q20" s="53"/>
      <c r="R20" s="53">
        <v>10</v>
      </c>
      <c r="S20" s="424"/>
    </row>
    <row r="21" spans="3:19" ht="11.25" customHeight="1">
      <c r="C21" s="172" t="s">
        <v>151</v>
      </c>
      <c r="D21" s="251">
        <f>+'Segment  2007 Qtr'!G23</f>
        <v>58</v>
      </c>
      <c r="E21" s="251"/>
      <c r="F21" s="251">
        <v>40</v>
      </c>
      <c r="G21" s="251"/>
      <c r="H21" s="251">
        <v>43</v>
      </c>
      <c r="I21" s="251"/>
      <c r="J21" s="251">
        <v>63</v>
      </c>
      <c r="K21" s="251"/>
      <c r="L21" s="251">
        <v>44</v>
      </c>
      <c r="M21" s="251"/>
      <c r="N21" s="251">
        <f>+F21+D21</f>
        <v>98</v>
      </c>
      <c r="O21" s="251"/>
      <c r="P21" s="251">
        <v>100</v>
      </c>
      <c r="Q21" s="251"/>
      <c r="R21" s="251">
        <v>206</v>
      </c>
      <c r="S21" s="53"/>
    </row>
    <row r="22" spans="3:19" ht="11.25" customHeight="1">
      <c r="C22" s="172" t="s">
        <v>5</v>
      </c>
      <c r="D22" s="431">
        <f>D15+D17-D20+D18+D19-D21</f>
        <v>160</v>
      </c>
      <c r="E22" s="431"/>
      <c r="F22" s="431">
        <f>F15+F17-F20+F18+F19-F21</f>
        <v>197</v>
      </c>
      <c r="G22" s="431"/>
      <c r="H22" s="431">
        <f>H15+H17-H20+H18+H19-H21</f>
        <v>193</v>
      </c>
      <c r="I22" s="431"/>
      <c r="J22" s="431">
        <f>J15+J17-J20+J18+J19-J21</f>
        <v>200</v>
      </c>
      <c r="K22" s="431"/>
      <c r="L22" s="431">
        <f>L15+L17-L20+L18+L19-L21</f>
        <v>181</v>
      </c>
      <c r="M22" s="431"/>
      <c r="N22" s="431">
        <f>N15+N17-N20+N18+N19-N21</f>
        <v>357</v>
      </c>
      <c r="O22" s="431"/>
      <c r="P22" s="431">
        <f>P15+P17-P20+P18+P19-P21</f>
        <v>342</v>
      </c>
      <c r="Q22" s="431"/>
      <c r="R22" s="431">
        <f>R15+R17-R20+R18+R19-R21</f>
        <v>735</v>
      </c>
      <c r="S22" s="431"/>
    </row>
    <row r="23" spans="3:19" ht="7.5" customHeight="1">
      <c r="C23" s="189"/>
      <c r="D23" s="423"/>
      <c r="E23" s="189"/>
      <c r="F23" s="423"/>
      <c r="G23" s="423"/>
      <c r="H23" s="423"/>
      <c r="I23" s="423"/>
      <c r="J23" s="423"/>
      <c r="K23" s="423"/>
      <c r="L23" s="423"/>
      <c r="M23" s="423"/>
      <c r="N23" s="444"/>
      <c r="O23" s="423"/>
      <c r="P23" s="444"/>
      <c r="Q23" s="423"/>
      <c r="R23" s="423"/>
      <c r="S23" s="552"/>
    </row>
    <row r="24" spans="3:19" ht="11.25" customHeight="1">
      <c r="C24" s="173" t="s">
        <v>166</v>
      </c>
      <c r="D24" s="53">
        <f>+'Segment  2007 Qtr'!G26</f>
        <v>-27</v>
      </c>
      <c r="E24" s="173"/>
      <c r="F24" s="53">
        <v>-26</v>
      </c>
      <c r="G24" s="53"/>
      <c r="H24" s="53">
        <v>8</v>
      </c>
      <c r="I24" s="53"/>
      <c r="J24" s="53">
        <v>-32</v>
      </c>
      <c r="K24" s="53"/>
      <c r="L24" s="53">
        <v>4</v>
      </c>
      <c r="M24" s="53"/>
      <c r="N24" s="53">
        <f>+F24+D24</f>
        <v>-53</v>
      </c>
      <c r="O24" s="40"/>
      <c r="P24" s="53">
        <v>8</v>
      </c>
      <c r="Q24" s="53"/>
      <c r="R24" s="53">
        <v>-16</v>
      </c>
      <c r="S24" s="424"/>
    </row>
    <row r="25" spans="3:19" ht="11.25" customHeight="1">
      <c r="C25" s="173" t="s">
        <v>247</v>
      </c>
      <c r="D25" s="53">
        <f>+'Segment  2007 Qtr'!G27</f>
        <v>-4</v>
      </c>
      <c r="E25" s="53"/>
      <c r="F25" s="53">
        <v>-8</v>
      </c>
      <c r="G25" s="53"/>
      <c r="H25" s="53">
        <v>2</v>
      </c>
      <c r="I25" s="53"/>
      <c r="J25" s="53">
        <v>-6</v>
      </c>
      <c r="K25" s="53"/>
      <c r="L25" s="53">
        <v>5</v>
      </c>
      <c r="M25" s="53"/>
      <c r="N25" s="53">
        <f>+F25+D25</f>
        <v>-12</v>
      </c>
      <c r="O25" s="40"/>
      <c r="P25" s="53">
        <v>7</v>
      </c>
      <c r="Q25" s="53"/>
      <c r="R25" s="53">
        <v>3</v>
      </c>
      <c r="S25" s="53"/>
    </row>
    <row r="26" spans="3:19" ht="15.75" customHeight="1" thickBot="1">
      <c r="C26" s="201" t="s">
        <v>250</v>
      </c>
      <c r="D26" s="445">
        <f>+D22-D24+D25</f>
        <v>183</v>
      </c>
      <c r="E26" s="445"/>
      <c r="F26" s="445">
        <f>+F22-F24+F25</f>
        <v>215</v>
      </c>
      <c r="G26" s="384"/>
      <c r="H26" s="445">
        <f>+H22-H24+H25</f>
        <v>187</v>
      </c>
      <c r="I26" s="384"/>
      <c r="J26" s="384">
        <f>+J22-J24+J25</f>
        <v>226</v>
      </c>
      <c r="K26" s="384"/>
      <c r="L26" s="384">
        <f>+L22-L24+L25</f>
        <v>182</v>
      </c>
      <c r="M26" s="384"/>
      <c r="N26" s="384">
        <f>+N22-N24+N25</f>
        <v>398</v>
      </c>
      <c r="O26" s="384"/>
      <c r="P26" s="384">
        <f>+P22-P24+P25</f>
        <v>341</v>
      </c>
      <c r="Q26" s="384"/>
      <c r="R26" s="384">
        <f>+R22-R24+R25</f>
        <v>754</v>
      </c>
      <c r="S26" s="32"/>
    </row>
    <row r="27" spans="3:19" ht="12" thickTop="1">
      <c r="C27" s="172"/>
      <c r="D27" s="42"/>
      <c r="E27" s="42"/>
      <c r="F27" s="42"/>
      <c r="G27" s="42"/>
      <c r="H27" s="42"/>
      <c r="I27" s="42"/>
      <c r="J27" s="42"/>
      <c r="K27" s="42"/>
      <c r="L27" s="42"/>
      <c r="M27" s="42"/>
      <c r="N27" s="424"/>
      <c r="O27" s="42"/>
      <c r="P27" s="424"/>
      <c r="Q27" s="42"/>
      <c r="R27" s="42"/>
      <c r="S27" s="75"/>
    </row>
    <row r="28" spans="3:19" ht="11.25">
      <c r="C28" s="179" t="s">
        <v>128</v>
      </c>
      <c r="D28" s="371"/>
      <c r="E28" s="179"/>
      <c r="F28" s="371"/>
      <c r="G28" s="371"/>
      <c r="H28" s="371"/>
      <c r="I28" s="371"/>
      <c r="J28" s="371"/>
      <c r="K28" s="371"/>
      <c r="L28" s="371"/>
      <c r="M28" s="371"/>
      <c r="N28" s="366"/>
      <c r="O28" s="42"/>
      <c r="P28" s="366"/>
      <c r="Q28" s="371"/>
      <c r="R28" s="42"/>
      <c r="S28" s="373"/>
    </row>
    <row r="29" spans="3:19" ht="11.25">
      <c r="C29" s="1" t="s">
        <v>123</v>
      </c>
      <c r="D29" s="16">
        <f>'Segment  2007 Qtr'!G54</f>
        <v>0.539</v>
      </c>
      <c r="F29" s="16">
        <v>0.507</v>
      </c>
      <c r="G29" s="16"/>
      <c r="H29" s="16">
        <v>0.525</v>
      </c>
      <c r="I29" s="16"/>
      <c r="J29" s="16">
        <v>0.484</v>
      </c>
      <c r="K29" s="16"/>
      <c r="L29" s="16">
        <v>0.538</v>
      </c>
      <c r="M29" s="16"/>
      <c r="N29" s="16">
        <f>+'Segment  2007 YTD'!G58</f>
        <v>0.523</v>
      </c>
      <c r="O29" s="16"/>
      <c r="P29" s="16">
        <v>0.542</v>
      </c>
      <c r="Q29" s="16"/>
      <c r="R29" s="17">
        <v>0.523</v>
      </c>
      <c r="S29" s="17"/>
    </row>
    <row r="30" spans="3:19" ht="11.25">
      <c r="C30" s="1" t="s">
        <v>130</v>
      </c>
      <c r="D30" s="16">
        <f>'Segment  2007 Qtr'!G55</f>
        <v>0.201</v>
      </c>
      <c r="F30" s="16">
        <v>0.202</v>
      </c>
      <c r="G30" s="16"/>
      <c r="H30" s="16">
        <v>0.206</v>
      </c>
      <c r="I30" s="16"/>
      <c r="J30" s="16">
        <v>0.198</v>
      </c>
      <c r="K30" s="16"/>
      <c r="L30" s="16">
        <v>0.201</v>
      </c>
      <c r="M30" s="16"/>
      <c r="N30" s="16">
        <f>+'Segment  2007 YTD'!G59</f>
        <v>0.201</v>
      </c>
      <c r="O30" s="16"/>
      <c r="P30" s="16">
        <v>0.194</v>
      </c>
      <c r="Q30" s="16"/>
      <c r="R30" s="17">
        <v>0.198</v>
      </c>
      <c r="S30" s="17"/>
    </row>
    <row r="31" spans="3:19" ht="11.25">
      <c r="C31" s="1" t="s">
        <v>138</v>
      </c>
      <c r="D31" s="16">
        <f>'Segment  2007 Qtr'!G56</f>
        <v>0.142</v>
      </c>
      <c r="E31" s="16"/>
      <c r="F31" s="16">
        <v>0.145</v>
      </c>
      <c r="G31" s="16"/>
      <c r="H31" s="16">
        <v>0.143</v>
      </c>
      <c r="I31" s="16"/>
      <c r="J31" s="16">
        <v>0.14</v>
      </c>
      <c r="K31" s="16"/>
      <c r="L31" s="16">
        <v>0.141</v>
      </c>
      <c r="M31" s="18"/>
      <c r="N31" s="16">
        <f>+'Segment  2007 YTD'!G60</f>
        <v>0.144</v>
      </c>
      <c r="O31" s="17"/>
      <c r="P31" s="16">
        <v>0.14</v>
      </c>
      <c r="Q31" s="17"/>
      <c r="R31" s="17">
        <v>0.141</v>
      </c>
      <c r="S31" s="17"/>
    </row>
    <row r="32" spans="3:19" ht="12" thickBot="1">
      <c r="C32" s="172" t="s">
        <v>54</v>
      </c>
      <c r="D32" s="180">
        <f>SUM(D29:D31)</f>
        <v>0.882</v>
      </c>
      <c r="E32" s="180"/>
      <c r="F32" s="180">
        <f>SUM(F29:F31)</f>
        <v>0.8540000000000001</v>
      </c>
      <c r="G32" s="180"/>
      <c r="H32" s="180">
        <f>SUM(H29:H31)</f>
        <v>0.874</v>
      </c>
      <c r="I32" s="180"/>
      <c r="J32" s="180">
        <f>SUM(J29:J31)</f>
        <v>0.822</v>
      </c>
      <c r="K32" s="180"/>
      <c r="L32" s="180">
        <f>SUM(L29:L31)</f>
        <v>0.8800000000000001</v>
      </c>
      <c r="M32" s="180"/>
      <c r="N32" s="180">
        <f>SUM(N29:N31)</f>
        <v>0.868</v>
      </c>
      <c r="O32" s="180"/>
      <c r="P32" s="180">
        <f>SUM(P29:P31)</f>
        <v>0.876</v>
      </c>
      <c r="Q32" s="180"/>
      <c r="R32" s="180">
        <f>SUM(R29:R31)</f>
        <v>0.8620000000000001</v>
      </c>
      <c r="S32" s="17"/>
    </row>
    <row r="33" spans="3:19" ht="12" thickTop="1">
      <c r="C33" s="172"/>
      <c r="D33" s="172"/>
      <c r="E33" s="172"/>
      <c r="F33" s="172"/>
      <c r="G33" s="172"/>
      <c r="H33" s="172"/>
      <c r="I33" s="172"/>
      <c r="J33" s="172"/>
      <c r="K33" s="172"/>
      <c r="L33" s="172"/>
      <c r="M33" s="172"/>
      <c r="N33" s="424"/>
      <c r="O33" s="42"/>
      <c r="P33" s="424"/>
      <c r="Q33" s="172"/>
      <c r="R33" s="172"/>
      <c r="S33" s="181"/>
    </row>
    <row r="34" spans="3:18" ht="11.25">
      <c r="C34" s="14" t="s">
        <v>231</v>
      </c>
      <c r="E34" s="14"/>
      <c r="G34" s="14"/>
      <c r="I34" s="14"/>
      <c r="N34" s="30"/>
      <c r="O34" s="42"/>
      <c r="P34" s="30"/>
      <c r="R34" s="42"/>
    </row>
    <row r="35" spans="3:19" ht="11.25">
      <c r="C35" s="1" t="s">
        <v>296</v>
      </c>
      <c r="D35" s="37">
        <v>58</v>
      </c>
      <c r="E35" s="42"/>
      <c r="F35" s="37">
        <v>15</v>
      </c>
      <c r="G35" s="42"/>
      <c r="H35" s="37">
        <v>0</v>
      </c>
      <c r="I35" s="42"/>
      <c r="J35" s="37">
        <v>3</v>
      </c>
      <c r="K35" s="37"/>
      <c r="L35" s="37">
        <v>0</v>
      </c>
      <c r="M35" s="37"/>
      <c r="N35" s="37">
        <f>+F35+D35</f>
        <v>73</v>
      </c>
      <c r="O35" s="37"/>
      <c r="P35" s="37">
        <v>0</v>
      </c>
      <c r="Q35" s="37"/>
      <c r="R35" s="510">
        <v>3</v>
      </c>
      <c r="S35" s="59"/>
    </row>
    <row r="36" spans="3:19" ht="11.25">
      <c r="C36" s="1" t="s">
        <v>312</v>
      </c>
      <c r="D36" s="37">
        <v>-31</v>
      </c>
      <c r="E36" s="42"/>
      <c r="F36" s="37">
        <v>-21</v>
      </c>
      <c r="G36" s="42"/>
      <c r="H36" s="37">
        <v>4</v>
      </c>
      <c r="I36" s="42"/>
      <c r="J36" s="37">
        <v>-16</v>
      </c>
      <c r="K36" s="37"/>
      <c r="L36" s="37">
        <v>-21</v>
      </c>
      <c r="M36" s="37"/>
      <c r="N36" s="37">
        <f>+F36+D36</f>
        <v>-52</v>
      </c>
      <c r="O36" s="37"/>
      <c r="P36" s="37">
        <v>-60</v>
      </c>
      <c r="Q36" s="37"/>
      <c r="R36" s="510">
        <v>-72</v>
      </c>
      <c r="S36" s="59"/>
    </row>
    <row r="37" spans="3:19" ht="11.25">
      <c r="C37" s="172"/>
      <c r="D37" s="42"/>
      <c r="E37" s="172"/>
      <c r="F37" s="42"/>
      <c r="G37" s="172"/>
      <c r="H37" s="42"/>
      <c r="I37" s="172"/>
      <c r="J37" s="42"/>
      <c r="K37" s="42"/>
      <c r="L37" s="42"/>
      <c r="M37" s="42"/>
      <c r="N37" s="127"/>
      <c r="O37" s="127"/>
      <c r="P37" s="127"/>
      <c r="Q37" s="42"/>
      <c r="R37" s="42"/>
      <c r="S37" s="75"/>
    </row>
    <row r="38" spans="3:19" ht="11.25">
      <c r="C38" s="14" t="s">
        <v>13</v>
      </c>
      <c r="D38" s="42"/>
      <c r="E38" s="14"/>
      <c r="F38" s="42"/>
      <c r="G38" s="14"/>
      <c r="H38" s="42"/>
      <c r="I38" s="14"/>
      <c r="J38" s="42"/>
      <c r="K38" s="42"/>
      <c r="L38" s="42"/>
      <c r="M38" s="42"/>
      <c r="N38" s="127"/>
      <c r="O38" s="127"/>
      <c r="P38" s="573"/>
      <c r="Q38" s="42"/>
      <c r="R38" s="42"/>
      <c r="S38" s="75"/>
    </row>
    <row r="39" spans="3:19" ht="11.25" customHeight="1">
      <c r="C39" s="1" t="s">
        <v>125</v>
      </c>
      <c r="D39" s="127">
        <f>(D10/L10)-1</f>
        <v>0.07663896583564167</v>
      </c>
      <c r="F39" s="127">
        <v>0.04013961605584648</v>
      </c>
      <c r="H39" s="127">
        <v>0.044378698224852</v>
      </c>
      <c r="J39" s="127">
        <v>0.05</v>
      </c>
      <c r="K39" s="127"/>
      <c r="L39" s="127">
        <v>0.02</v>
      </c>
      <c r="M39" s="127"/>
      <c r="N39" s="127">
        <f>(N10/P10)-1</f>
        <v>0.05787348586810226</v>
      </c>
      <c r="O39" s="127"/>
      <c r="P39" s="127">
        <v>-0.01</v>
      </c>
      <c r="Q39" s="127"/>
      <c r="R39" s="127">
        <v>0.016924910607866606</v>
      </c>
      <c r="S39" s="404"/>
    </row>
    <row r="40" spans="3:19" ht="11.25" customHeight="1">
      <c r="C40" s="1" t="s">
        <v>18</v>
      </c>
      <c r="D40" s="127">
        <f>(D11/L11)-1</f>
        <v>0.05064456721915289</v>
      </c>
      <c r="F40" s="127">
        <v>0.07025986525505301</v>
      </c>
      <c r="H40" s="127">
        <v>0.0467557251908397</v>
      </c>
      <c r="J40" s="127">
        <v>0.07</v>
      </c>
      <c r="K40" s="127"/>
      <c r="L40" s="127">
        <v>0.01</v>
      </c>
      <c r="M40" s="127"/>
      <c r="N40" s="127">
        <f>(N11/P11)-1</f>
        <v>0.060235294117647165</v>
      </c>
      <c r="O40" s="127"/>
      <c r="P40" s="127">
        <v>-0.02</v>
      </c>
      <c r="Q40" s="127"/>
      <c r="R40" s="127">
        <v>0.019344184949280585</v>
      </c>
      <c r="S40" s="404"/>
    </row>
    <row r="41" spans="4:19" ht="8.25" customHeight="1">
      <c r="D41" s="127"/>
      <c r="F41" s="127"/>
      <c r="H41" s="127"/>
      <c r="J41" s="127"/>
      <c r="K41" s="127"/>
      <c r="L41" s="127"/>
      <c r="M41" s="127"/>
      <c r="N41" s="127"/>
      <c r="O41" s="127"/>
      <c r="P41" s="127"/>
      <c r="Q41" s="127"/>
      <c r="R41" s="127"/>
      <c r="S41" s="404"/>
    </row>
    <row r="42" spans="3:19" ht="11.25">
      <c r="C42" s="14" t="s">
        <v>14</v>
      </c>
      <c r="D42" s="42"/>
      <c r="E42" s="14"/>
      <c r="F42" s="42"/>
      <c r="G42" s="14"/>
      <c r="H42" s="42"/>
      <c r="I42" s="14"/>
      <c r="J42" s="42"/>
      <c r="K42" s="42"/>
      <c r="L42" s="42"/>
      <c r="M42" s="42"/>
      <c r="N42" s="42"/>
      <c r="O42" s="42"/>
      <c r="P42" s="42"/>
      <c r="Q42" s="42"/>
      <c r="R42" s="42"/>
      <c r="S42" s="75"/>
    </row>
    <row r="43" spans="3:19" ht="11.25" customHeight="1">
      <c r="C43" s="1" t="s">
        <v>53</v>
      </c>
      <c r="D43" s="241">
        <f>D10/D9</f>
        <v>0.7193090684762492</v>
      </c>
      <c r="F43" s="241">
        <f>F10/F9</f>
        <v>0.7185051235684147</v>
      </c>
      <c r="H43" s="241">
        <f>H10/H9</f>
        <v>0.7349063150589868</v>
      </c>
      <c r="J43" s="241">
        <f>J10/J9</f>
        <v>0.7051189617880317</v>
      </c>
      <c r="K43" s="241"/>
      <c r="L43" s="241">
        <f>L10/L9</f>
        <v>0.7292929292929293</v>
      </c>
      <c r="M43" s="241"/>
      <c r="N43" s="241">
        <f>N10/N9</f>
        <v>0.7189024390243902</v>
      </c>
      <c r="O43" s="241"/>
      <c r="P43" s="241">
        <f>P10/P9</f>
        <v>0.7262952101661779</v>
      </c>
      <c r="Q43" s="241"/>
      <c r="R43" s="241">
        <f>R10/R9</f>
        <v>0.7234186874682041</v>
      </c>
      <c r="S43" s="242"/>
    </row>
    <row r="45" spans="3:11" ht="11.25">
      <c r="C45" s="532" t="str">
        <f>+'Financial Highlights'!C49</f>
        <v>(1) See page 21 Non-GAAP Financial Measures.</v>
      </c>
      <c r="D45" s="533"/>
      <c r="E45" s="35"/>
      <c r="F45" s="35"/>
      <c r="G45" s="35"/>
      <c r="H45" s="57"/>
      <c r="I45" s="57"/>
      <c r="J45" s="57"/>
      <c r="K45" s="57"/>
    </row>
  </sheetData>
  <mergeCells count="4">
    <mergeCell ref="C1:S1"/>
    <mergeCell ref="C2:S2"/>
    <mergeCell ref="C3:S3"/>
    <mergeCell ref="C4:S4"/>
  </mergeCells>
  <hyperlinks>
    <hyperlink ref="C45" location="'Reconciliation Non-GAAP'!A1" display="'Reconciliation Non-GAAP'!A1"/>
  </hyperlinks>
  <printOptions/>
  <pageMargins left="0.5" right="0.5" top="0.5" bottom="0.55" header="0.75" footer="0.3"/>
  <pageSetup horizontalDpi="600" verticalDpi="600" orientation="landscape" r:id="rId2"/>
  <headerFooter alignWithMargins="0">
    <oddFooter>&amp;L&amp;A&amp;R&amp;"Arial,Regular"&amp;8Page 8</oddFooter>
  </headerFooter>
  <drawing r:id="rId1"/>
</worksheet>
</file>

<file path=xl/worksheets/sheet11.xml><?xml version="1.0" encoding="utf-8"?>
<worksheet xmlns="http://schemas.openxmlformats.org/spreadsheetml/2006/main" xmlns:r="http://schemas.openxmlformats.org/officeDocument/2006/relationships">
  <sheetPr codeName="Sheet20"/>
  <dimension ref="C1:U39"/>
  <sheetViews>
    <sheetView workbookViewId="0" topLeftCell="A1">
      <selection activeCell="A1" sqref="A1"/>
    </sheetView>
  </sheetViews>
  <sheetFormatPr defaultColWidth="9.33203125" defaultRowHeight="12.75"/>
  <cols>
    <col min="1" max="2" width="3.33203125" style="1" customWidth="1"/>
    <col min="3" max="3" width="40"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1" customWidth="1"/>
    <col min="16" max="16" width="8.83203125" style="1" customWidth="1"/>
    <col min="17" max="17" width="2.33203125" style="1" customWidth="1"/>
    <col min="18" max="18" width="8.83203125" style="1" customWidth="1"/>
    <col min="19" max="19" width="2.33203125" style="1" customWidth="1"/>
    <col min="20" max="21" width="8.83203125" style="1" customWidth="1"/>
    <col min="22" max="16384" width="9" style="1" customWidth="1"/>
  </cols>
  <sheetData>
    <row r="1" spans="3:21" ht="12.75">
      <c r="C1" s="622" t="s">
        <v>89</v>
      </c>
      <c r="D1" s="622"/>
      <c r="E1" s="622"/>
      <c r="F1" s="622"/>
      <c r="G1" s="622"/>
      <c r="H1" s="622"/>
      <c r="I1" s="622"/>
      <c r="J1" s="622"/>
      <c r="K1" s="622"/>
      <c r="L1" s="622"/>
      <c r="M1" s="622"/>
      <c r="N1" s="622"/>
      <c r="O1" s="622"/>
      <c r="P1" s="622"/>
      <c r="Q1" s="622"/>
      <c r="R1" s="622"/>
      <c r="S1" s="622"/>
      <c r="T1" s="19"/>
      <c r="U1" s="19"/>
    </row>
    <row r="2" spans="3:21" ht="12">
      <c r="C2" s="623" t="s">
        <v>75</v>
      </c>
      <c r="D2" s="623"/>
      <c r="E2" s="623"/>
      <c r="F2" s="623"/>
      <c r="G2" s="623"/>
      <c r="H2" s="623"/>
      <c r="I2" s="623"/>
      <c r="J2" s="623"/>
      <c r="K2" s="623"/>
      <c r="L2" s="623"/>
      <c r="M2" s="623"/>
      <c r="N2" s="623"/>
      <c r="O2" s="623"/>
      <c r="P2" s="623"/>
      <c r="Q2" s="623"/>
      <c r="R2" s="623"/>
      <c r="S2" s="623"/>
      <c r="T2" s="2"/>
      <c r="U2" s="2"/>
    </row>
    <row r="3" spans="3:21" ht="12">
      <c r="C3" s="626" t="s">
        <v>147</v>
      </c>
      <c r="D3" s="626"/>
      <c r="E3" s="626"/>
      <c r="F3" s="626"/>
      <c r="G3" s="626"/>
      <c r="H3" s="626"/>
      <c r="I3" s="626"/>
      <c r="J3" s="626"/>
      <c r="K3" s="626"/>
      <c r="L3" s="626"/>
      <c r="M3" s="626"/>
      <c r="N3" s="626"/>
      <c r="O3" s="626"/>
      <c r="P3" s="626"/>
      <c r="Q3" s="626"/>
      <c r="R3" s="626"/>
      <c r="S3" s="626"/>
      <c r="T3" s="20"/>
      <c r="U3" s="20"/>
    </row>
    <row r="4" spans="3:21" ht="12">
      <c r="C4" s="626" t="s">
        <v>163</v>
      </c>
      <c r="D4" s="626"/>
      <c r="E4" s="626"/>
      <c r="F4" s="626"/>
      <c r="G4" s="626"/>
      <c r="H4" s="626"/>
      <c r="I4" s="626"/>
      <c r="J4" s="626"/>
      <c r="K4" s="626"/>
      <c r="L4" s="626"/>
      <c r="M4" s="626"/>
      <c r="N4" s="626"/>
      <c r="O4" s="626"/>
      <c r="P4" s="626"/>
      <c r="Q4" s="626"/>
      <c r="R4" s="626"/>
      <c r="S4" s="626"/>
      <c r="T4" s="20"/>
      <c r="U4" s="20"/>
    </row>
    <row r="5" ht="12">
      <c r="C5" s="507"/>
    </row>
    <row r="6" spans="3:21" ht="12.75">
      <c r="C6" s="183" t="s">
        <v>116</v>
      </c>
      <c r="D6" s="183"/>
      <c r="E6" s="183"/>
      <c r="F6" s="183"/>
      <c r="G6" s="183"/>
      <c r="H6" s="3"/>
      <c r="I6" s="3"/>
      <c r="J6" s="3"/>
      <c r="K6" s="3"/>
      <c r="N6" s="421" t="s">
        <v>256</v>
      </c>
      <c r="O6" s="410"/>
      <c r="P6" s="421" t="s">
        <v>256</v>
      </c>
      <c r="R6" s="421" t="s">
        <v>17</v>
      </c>
      <c r="S6" s="7"/>
      <c r="T6" s="434"/>
      <c r="U6" s="434"/>
    </row>
    <row r="7" spans="4:21" ht="11.25">
      <c r="D7" s="4" t="s">
        <v>428</v>
      </c>
      <c r="E7" s="79"/>
      <c r="F7" s="4" t="s">
        <v>375</v>
      </c>
      <c r="G7" s="4"/>
      <c r="H7" s="4" t="s">
        <v>361</v>
      </c>
      <c r="I7" s="4"/>
      <c r="J7" s="4" t="s">
        <v>354</v>
      </c>
      <c r="K7" s="4"/>
      <c r="L7" s="4" t="s">
        <v>352</v>
      </c>
      <c r="M7" s="4"/>
      <c r="N7" s="22">
        <v>2007</v>
      </c>
      <c r="O7" s="7"/>
      <c r="P7" s="22">
        <v>2006</v>
      </c>
      <c r="Q7" s="4"/>
      <c r="R7" s="22">
        <v>2006</v>
      </c>
      <c r="S7" s="5"/>
      <c r="T7" s="29"/>
      <c r="U7" s="29"/>
    </row>
    <row r="8" spans="3:21" ht="13.5" customHeight="1">
      <c r="C8" s="14"/>
      <c r="F8" s="2"/>
      <c r="H8" s="2"/>
      <c r="J8" s="2"/>
      <c r="L8" s="2"/>
      <c r="R8" s="2"/>
      <c r="S8" s="7"/>
      <c r="T8" s="122"/>
      <c r="U8" s="122"/>
    </row>
    <row r="9" spans="3:21" ht="11.25" customHeight="1">
      <c r="C9" s="1" t="s">
        <v>124</v>
      </c>
      <c r="D9" s="37">
        <f>+'Segment  2007 Qtr'!I10</f>
        <v>335</v>
      </c>
      <c r="F9" s="37">
        <v>478</v>
      </c>
      <c r="G9" s="31"/>
      <c r="H9" s="37">
        <v>255</v>
      </c>
      <c r="I9" s="31"/>
      <c r="J9" s="31">
        <v>291</v>
      </c>
      <c r="K9" s="31"/>
      <c r="L9" s="31">
        <v>417</v>
      </c>
      <c r="M9" s="31"/>
      <c r="N9" s="31">
        <f aca="true" t="shared" si="0" ref="N9:N14">+F9+D9</f>
        <v>813</v>
      </c>
      <c r="O9" s="31"/>
      <c r="P9" s="31">
        <v>1021</v>
      </c>
      <c r="Q9" s="31"/>
      <c r="R9" s="31">
        <v>1567</v>
      </c>
      <c r="S9" s="32"/>
      <c r="T9" s="32"/>
      <c r="U9" s="32"/>
    </row>
    <row r="10" spans="3:21" ht="11.25" customHeight="1">
      <c r="C10" s="1" t="s">
        <v>125</v>
      </c>
      <c r="D10" s="53">
        <f>+'Segment  2007 Qtr'!I11</f>
        <v>332</v>
      </c>
      <c r="F10" s="53">
        <v>476</v>
      </c>
      <c r="G10" s="53"/>
      <c r="H10" s="53">
        <v>251</v>
      </c>
      <c r="I10" s="53"/>
      <c r="J10" s="53">
        <v>284</v>
      </c>
      <c r="K10" s="53"/>
      <c r="L10" s="53">
        <v>415</v>
      </c>
      <c r="M10" s="53"/>
      <c r="N10" s="53">
        <f t="shared" si="0"/>
        <v>808</v>
      </c>
      <c r="O10" s="53"/>
      <c r="P10" s="53">
        <v>1015</v>
      </c>
      <c r="Q10" s="53"/>
      <c r="R10" s="63">
        <v>1550</v>
      </c>
      <c r="S10" s="53"/>
      <c r="T10" s="38"/>
      <c r="U10" s="38"/>
    </row>
    <row r="11" spans="3:21" ht="11.25" customHeight="1">
      <c r="C11" s="1" t="s">
        <v>126</v>
      </c>
      <c r="D11" s="53">
        <f>+'Segment  2007 Qtr'!I12</f>
        <v>325</v>
      </c>
      <c r="F11" s="53">
        <v>343</v>
      </c>
      <c r="G11" s="53"/>
      <c r="H11" s="53">
        <v>380</v>
      </c>
      <c r="I11" s="53"/>
      <c r="J11" s="53">
        <v>373</v>
      </c>
      <c r="K11" s="53"/>
      <c r="L11" s="53">
        <v>387</v>
      </c>
      <c r="M11" s="53"/>
      <c r="N11" s="53">
        <f t="shared" si="0"/>
        <v>668</v>
      </c>
      <c r="O11" s="53"/>
      <c r="P11" s="53">
        <v>758</v>
      </c>
      <c r="Q11" s="53"/>
      <c r="R11" s="63">
        <v>1511</v>
      </c>
      <c r="S11" s="53"/>
      <c r="T11" s="38"/>
      <c r="U11" s="38"/>
    </row>
    <row r="12" spans="3:21" ht="11.25" customHeight="1">
      <c r="C12" s="1" t="s">
        <v>119</v>
      </c>
      <c r="D12" s="53">
        <f>+'Segment  2007 Qtr'!I13</f>
        <v>163</v>
      </c>
      <c r="F12" s="53">
        <v>185</v>
      </c>
      <c r="G12" s="53"/>
      <c r="H12" s="53">
        <v>194</v>
      </c>
      <c r="I12" s="53"/>
      <c r="J12" s="53">
        <v>196</v>
      </c>
      <c r="K12" s="53"/>
      <c r="L12" s="53">
        <v>197</v>
      </c>
      <c r="M12" s="53"/>
      <c r="N12" s="53">
        <f t="shared" si="0"/>
        <v>348</v>
      </c>
      <c r="O12" s="53"/>
      <c r="P12" s="53">
        <v>394</v>
      </c>
      <c r="Q12" s="53"/>
      <c r="R12" s="63">
        <v>784</v>
      </c>
      <c r="S12" s="53"/>
      <c r="T12" s="38"/>
      <c r="U12" s="38"/>
    </row>
    <row r="13" spans="3:21" ht="11.25" customHeight="1">
      <c r="C13" s="1" t="s">
        <v>129</v>
      </c>
      <c r="D13" s="53">
        <f>+'Segment  2007 Qtr'!I15</f>
        <v>64</v>
      </c>
      <c r="F13" s="53">
        <v>66</v>
      </c>
      <c r="G13" s="53"/>
      <c r="H13" s="53">
        <v>76</v>
      </c>
      <c r="I13" s="53"/>
      <c r="J13" s="53">
        <v>71</v>
      </c>
      <c r="K13" s="53"/>
      <c r="L13" s="53">
        <v>82</v>
      </c>
      <c r="M13" s="53"/>
      <c r="N13" s="53">
        <f t="shared" si="0"/>
        <v>130</v>
      </c>
      <c r="O13" s="53"/>
      <c r="P13" s="53">
        <v>156</v>
      </c>
      <c r="Q13" s="53"/>
      <c r="R13" s="63">
        <v>303</v>
      </c>
      <c r="S13" s="53"/>
      <c r="T13" s="38"/>
      <c r="U13" s="38"/>
    </row>
    <row r="14" spans="3:21" ht="11.25" customHeight="1">
      <c r="C14" s="1" t="s">
        <v>127</v>
      </c>
      <c r="D14" s="53">
        <f>+'Segment  2007 Qtr'!I16</f>
        <v>16</v>
      </c>
      <c r="E14" s="79"/>
      <c r="F14" s="53">
        <v>17</v>
      </c>
      <c r="G14" s="53"/>
      <c r="H14" s="53">
        <v>14</v>
      </c>
      <c r="I14" s="53"/>
      <c r="J14" s="53">
        <v>16</v>
      </c>
      <c r="K14" s="53"/>
      <c r="L14" s="53">
        <v>18</v>
      </c>
      <c r="M14" s="53"/>
      <c r="N14" s="53">
        <f t="shared" si="0"/>
        <v>33</v>
      </c>
      <c r="O14" s="53"/>
      <c r="P14" s="53">
        <v>32</v>
      </c>
      <c r="Q14" s="53"/>
      <c r="R14" s="63">
        <v>62</v>
      </c>
      <c r="S14" s="53"/>
      <c r="T14" s="38"/>
      <c r="U14" s="38"/>
    </row>
    <row r="15" spans="3:21" ht="11.25" customHeight="1">
      <c r="C15" s="1" t="s">
        <v>55</v>
      </c>
      <c r="D15" s="442">
        <f>+D11-D12-D13-D14</f>
        <v>82</v>
      </c>
      <c r="F15" s="442">
        <f>+F11-F12-F13-F14</f>
        <v>75</v>
      </c>
      <c r="G15" s="259"/>
      <c r="H15" s="442">
        <f>+H11-H12-H13-H14</f>
        <v>96</v>
      </c>
      <c r="I15" s="259"/>
      <c r="J15" s="259">
        <f>+J11-J12-J13-J14</f>
        <v>90</v>
      </c>
      <c r="K15" s="259"/>
      <c r="L15" s="259">
        <f>+L11-L12-L13-L14</f>
        <v>90</v>
      </c>
      <c r="M15" s="259"/>
      <c r="N15" s="259">
        <f>+N11-N12-N13-N14</f>
        <v>157</v>
      </c>
      <c r="O15" s="259"/>
      <c r="P15" s="259">
        <f>+P11-P12-P13-P14</f>
        <v>176</v>
      </c>
      <c r="Q15" s="259"/>
      <c r="R15" s="259">
        <f>+R11-R12-R13-R14</f>
        <v>362</v>
      </c>
      <c r="S15" s="341"/>
      <c r="T15" s="341"/>
      <c r="U15" s="341"/>
    </row>
    <row r="16" spans="4:21" ht="7.5" customHeight="1">
      <c r="D16" s="424"/>
      <c r="F16" s="424"/>
      <c r="G16" s="369"/>
      <c r="H16" s="424"/>
      <c r="I16" s="369"/>
      <c r="J16" s="369"/>
      <c r="K16" s="369"/>
      <c r="L16" s="369"/>
      <c r="M16" s="369"/>
      <c r="N16" s="369"/>
      <c r="O16" s="369"/>
      <c r="P16" s="369"/>
      <c r="Q16" s="369"/>
      <c r="R16" s="38"/>
      <c r="S16" s="369"/>
      <c r="T16" s="38"/>
      <c r="U16" s="38"/>
    </row>
    <row r="17" spans="3:21" ht="11.25">
      <c r="C17" s="1" t="s">
        <v>121</v>
      </c>
      <c r="D17" s="53">
        <f>+'Segment  2007 Qtr'!I19</f>
        <v>66</v>
      </c>
      <c r="F17" s="53">
        <v>66</v>
      </c>
      <c r="G17" s="53"/>
      <c r="H17" s="53">
        <v>62</v>
      </c>
      <c r="I17" s="53"/>
      <c r="J17" s="53">
        <v>56</v>
      </c>
      <c r="K17" s="53"/>
      <c r="L17" s="53">
        <v>55</v>
      </c>
      <c r="M17" s="53"/>
      <c r="N17" s="53">
        <f>+F17+D17</f>
        <v>132</v>
      </c>
      <c r="O17" s="53"/>
      <c r="P17" s="53">
        <v>103</v>
      </c>
      <c r="Q17" s="53"/>
      <c r="R17" s="63">
        <v>221</v>
      </c>
      <c r="S17" s="53"/>
      <c r="T17" s="38"/>
      <c r="U17" s="38"/>
    </row>
    <row r="18" spans="3:21" ht="11.25">
      <c r="C18" s="173" t="s">
        <v>166</v>
      </c>
      <c r="D18" s="53">
        <f>+'Segment  2007 Qtr'!I20</f>
        <v>-7</v>
      </c>
      <c r="E18" s="173"/>
      <c r="F18" s="53">
        <v>6</v>
      </c>
      <c r="G18" s="53"/>
      <c r="H18" s="53">
        <v>17</v>
      </c>
      <c r="I18" s="53"/>
      <c r="J18" s="53">
        <v>2</v>
      </c>
      <c r="K18" s="53"/>
      <c r="L18" s="53">
        <v>-3</v>
      </c>
      <c r="M18" s="53"/>
      <c r="N18" s="53">
        <f>+F18+D18</f>
        <v>-1</v>
      </c>
      <c r="O18" s="53"/>
      <c r="P18" s="53">
        <v>-9</v>
      </c>
      <c r="Q18" s="53"/>
      <c r="R18" s="63">
        <v>10</v>
      </c>
      <c r="S18" s="53"/>
      <c r="T18" s="38"/>
      <c r="U18" s="38"/>
    </row>
    <row r="19" spans="3:21" ht="11.25">
      <c r="C19" s="1" t="s">
        <v>139</v>
      </c>
      <c r="D19" s="53">
        <f>+'Segment  2007 Qtr'!I21</f>
        <v>0</v>
      </c>
      <c r="F19" s="53">
        <v>0</v>
      </c>
      <c r="G19" s="53"/>
      <c r="H19" s="53">
        <v>0</v>
      </c>
      <c r="I19" s="53"/>
      <c r="J19" s="53">
        <v>0</v>
      </c>
      <c r="K19" s="53"/>
      <c r="L19" s="53">
        <v>0</v>
      </c>
      <c r="M19" s="53"/>
      <c r="N19" s="53">
        <f>+F19+D19</f>
        <v>0</v>
      </c>
      <c r="O19" s="53"/>
      <c r="P19" s="53">
        <v>0</v>
      </c>
      <c r="Q19" s="53"/>
      <c r="R19" s="53">
        <v>0</v>
      </c>
      <c r="S19" s="53"/>
      <c r="T19" s="53"/>
      <c r="U19" s="53"/>
    </row>
    <row r="20" spans="3:21" ht="11.25">
      <c r="C20" s="1" t="s">
        <v>246</v>
      </c>
      <c r="D20" s="53">
        <f>+'Segment  2007 Qtr'!I22</f>
        <v>2</v>
      </c>
      <c r="F20" s="53">
        <v>1</v>
      </c>
      <c r="G20" s="53"/>
      <c r="H20" s="53">
        <v>2</v>
      </c>
      <c r="I20" s="53"/>
      <c r="J20" s="53">
        <v>1</v>
      </c>
      <c r="K20" s="53"/>
      <c r="L20" s="53">
        <v>2</v>
      </c>
      <c r="M20" s="53"/>
      <c r="N20" s="53">
        <f>+F20+D20</f>
        <v>3</v>
      </c>
      <c r="O20" s="53"/>
      <c r="P20" s="53">
        <v>5</v>
      </c>
      <c r="Q20" s="53"/>
      <c r="R20" s="63">
        <v>8</v>
      </c>
      <c r="S20" s="53"/>
      <c r="T20" s="38"/>
      <c r="U20" s="38"/>
    </row>
    <row r="21" spans="3:21" ht="11.25">
      <c r="C21" s="172" t="s">
        <v>151</v>
      </c>
      <c r="D21" s="251">
        <f>+'Segment  2007 Qtr'!I23</f>
        <v>7</v>
      </c>
      <c r="E21" s="458"/>
      <c r="F21" s="251">
        <v>7</v>
      </c>
      <c r="G21" s="251"/>
      <c r="H21" s="251">
        <v>9</v>
      </c>
      <c r="I21" s="251"/>
      <c r="J21" s="251">
        <v>9</v>
      </c>
      <c r="K21" s="251"/>
      <c r="L21" s="251">
        <v>8</v>
      </c>
      <c r="M21" s="251"/>
      <c r="N21" s="63">
        <f>+F21+D21</f>
        <v>14</v>
      </c>
      <c r="O21" s="63"/>
      <c r="P21" s="63">
        <v>20</v>
      </c>
      <c r="Q21" s="63"/>
      <c r="R21" s="63">
        <v>38</v>
      </c>
      <c r="S21" s="53"/>
      <c r="T21" s="38"/>
      <c r="U21" s="38"/>
    </row>
    <row r="22" spans="3:21" ht="11.25">
      <c r="C22" s="172" t="s">
        <v>5</v>
      </c>
      <c r="D22" s="443">
        <f>+D15+D17+D18-D20-D19-D21</f>
        <v>132</v>
      </c>
      <c r="E22" s="172"/>
      <c r="F22" s="443">
        <f>+F15+F17+F18-F20-F19-F21</f>
        <v>139</v>
      </c>
      <c r="G22" s="341"/>
      <c r="H22" s="443">
        <f>+H15+H17+H18-H20-H19-H21</f>
        <v>164</v>
      </c>
      <c r="I22" s="341"/>
      <c r="J22" s="443">
        <f>+J15+J17+J18-J20-J19-J21</f>
        <v>138</v>
      </c>
      <c r="K22" s="53"/>
      <c r="L22" s="443">
        <f>+L15+L17+L18-L20-L19-L21</f>
        <v>132</v>
      </c>
      <c r="M22" s="53"/>
      <c r="N22" s="259">
        <f>+N15+N17+N18-N20-N19-N21</f>
        <v>271</v>
      </c>
      <c r="O22" s="259"/>
      <c r="P22" s="259">
        <f>+P15+P17+P18-P20-P19-P21</f>
        <v>245</v>
      </c>
      <c r="Q22" s="259"/>
      <c r="R22" s="259">
        <f>+R15+R17+R18-R20-R19-R21</f>
        <v>547</v>
      </c>
      <c r="S22" s="53"/>
      <c r="T22" s="443"/>
      <c r="U22" s="443"/>
    </row>
    <row r="23" spans="3:21" ht="7.5" customHeight="1">
      <c r="C23" s="172"/>
      <c r="D23" s="424"/>
      <c r="E23" s="172"/>
      <c r="F23" s="424"/>
      <c r="G23" s="369"/>
      <c r="H23" s="424"/>
      <c r="I23" s="369"/>
      <c r="J23" s="369"/>
      <c r="K23" s="369"/>
      <c r="L23" s="369"/>
      <c r="M23" s="369"/>
      <c r="N23" s="369"/>
      <c r="O23" s="369"/>
      <c r="P23" s="369"/>
      <c r="Q23" s="369"/>
      <c r="R23" s="63"/>
      <c r="S23" s="369"/>
      <c r="T23" s="38"/>
      <c r="U23" s="38"/>
    </row>
    <row r="24" spans="3:21" ht="11.25">
      <c r="C24" s="173" t="s">
        <v>166</v>
      </c>
      <c r="D24" s="53">
        <f>+'Segment  2007 Qtr'!I26</f>
        <v>-7</v>
      </c>
      <c r="E24" s="173"/>
      <c r="F24" s="53">
        <v>6</v>
      </c>
      <c r="G24" s="53"/>
      <c r="H24" s="53">
        <v>17</v>
      </c>
      <c r="I24" s="53"/>
      <c r="J24" s="53">
        <v>2</v>
      </c>
      <c r="K24" s="53"/>
      <c r="L24" s="53">
        <v>-3</v>
      </c>
      <c r="M24" s="53"/>
      <c r="N24" s="53">
        <f>+F24+D24</f>
        <v>-1</v>
      </c>
      <c r="O24" s="53"/>
      <c r="P24" s="53">
        <v>-9</v>
      </c>
      <c r="Q24" s="53"/>
      <c r="R24" s="63">
        <v>10</v>
      </c>
      <c r="S24" s="53"/>
      <c r="T24" s="38"/>
      <c r="U24" s="38"/>
    </row>
    <row r="25" spans="3:21" ht="11.25">
      <c r="C25" s="173" t="s">
        <v>247</v>
      </c>
      <c r="D25" s="53">
        <f>+'Segment  2007 Qtr'!I27</f>
        <v>0</v>
      </c>
      <c r="E25" s="53"/>
      <c r="F25" s="53">
        <v>-1</v>
      </c>
      <c r="G25" s="53"/>
      <c r="H25" s="53">
        <v>1</v>
      </c>
      <c r="I25" s="53"/>
      <c r="J25" s="53">
        <v>-1</v>
      </c>
      <c r="K25" s="53"/>
      <c r="L25" s="53">
        <v>-1</v>
      </c>
      <c r="M25" s="53"/>
      <c r="N25" s="53">
        <f>+F25+D25</f>
        <v>-1</v>
      </c>
      <c r="O25" s="53"/>
      <c r="P25" s="53">
        <v>-1</v>
      </c>
      <c r="Q25" s="53"/>
      <c r="R25" s="63">
        <v>-1</v>
      </c>
      <c r="S25" s="53"/>
      <c r="T25" s="53"/>
      <c r="U25" s="53"/>
    </row>
    <row r="26" spans="3:21" ht="15.75" customHeight="1" thickBot="1">
      <c r="C26" s="201" t="s">
        <v>250</v>
      </c>
      <c r="D26" s="445">
        <f>+D22-D24+D25</f>
        <v>139</v>
      </c>
      <c r="E26" s="445"/>
      <c r="F26" s="445">
        <f>+F22-F24+F25</f>
        <v>132</v>
      </c>
      <c r="G26" s="384"/>
      <c r="H26" s="445">
        <f>+H22-H24+H25</f>
        <v>148</v>
      </c>
      <c r="I26" s="384"/>
      <c r="J26" s="384">
        <f>+J22-J24+J25</f>
        <v>135</v>
      </c>
      <c r="K26" s="384"/>
      <c r="L26" s="384">
        <f>+L22-L24+L25</f>
        <v>134</v>
      </c>
      <c r="M26" s="384"/>
      <c r="N26" s="384">
        <f>+N22-N24+N25</f>
        <v>271</v>
      </c>
      <c r="O26" s="384"/>
      <c r="P26" s="384">
        <f>+P22-P24+P25</f>
        <v>253</v>
      </c>
      <c r="Q26" s="384"/>
      <c r="R26" s="384">
        <f>+R22-R24+R25</f>
        <v>536</v>
      </c>
      <c r="S26" s="32"/>
      <c r="T26" s="32"/>
      <c r="U26" s="32"/>
    </row>
    <row r="27" spans="4:21" ht="12" thickTop="1">
      <c r="D27" s="42"/>
      <c r="E27" s="42"/>
      <c r="F27" s="42"/>
      <c r="G27" s="42"/>
      <c r="H27" s="42"/>
      <c r="I27" s="42"/>
      <c r="J27" s="42"/>
      <c r="K27" s="42"/>
      <c r="L27" s="42"/>
      <c r="M27" s="42"/>
      <c r="N27" s="42"/>
      <c r="O27" s="42"/>
      <c r="P27" s="42"/>
      <c r="Q27" s="42"/>
      <c r="R27" s="42"/>
      <c r="S27" s="42"/>
      <c r="T27" s="75"/>
      <c r="U27" s="75"/>
    </row>
    <row r="28" spans="3:21" ht="11.25">
      <c r="C28" s="179" t="s">
        <v>128</v>
      </c>
      <c r="D28" s="42"/>
      <c r="E28" s="179"/>
      <c r="F28" s="42"/>
      <c r="G28" s="42"/>
      <c r="H28" s="42"/>
      <c r="I28" s="42"/>
      <c r="J28" s="42"/>
      <c r="K28" s="42"/>
      <c r="L28" s="42"/>
      <c r="M28" s="42"/>
      <c r="N28" s="42"/>
      <c r="O28" s="42"/>
      <c r="P28" s="42"/>
      <c r="Q28" s="42"/>
      <c r="R28" s="42"/>
      <c r="S28" s="42"/>
      <c r="T28" s="75"/>
      <c r="U28" s="75"/>
    </row>
    <row r="29" spans="3:21" ht="11.25">
      <c r="C29" s="1" t="s">
        <v>167</v>
      </c>
      <c r="D29" s="16">
        <f>'Segment  2007 Qtr'!I54</f>
        <v>0.501</v>
      </c>
      <c r="F29" s="16">
        <v>0.538</v>
      </c>
      <c r="G29" s="373"/>
      <c r="H29" s="16">
        <v>0.509</v>
      </c>
      <c r="I29" s="373"/>
      <c r="J29" s="373">
        <v>0.525</v>
      </c>
      <c r="K29" s="425"/>
      <c r="L29" s="373">
        <v>0.51</v>
      </c>
      <c r="M29" s="373"/>
      <c r="N29" s="373">
        <f>+'Segment  2007 YTD'!I58</f>
        <v>0.52</v>
      </c>
      <c r="O29" s="373"/>
      <c r="P29" s="373">
        <v>0.52</v>
      </c>
      <c r="Q29" s="373"/>
      <c r="R29" s="373">
        <v>0.518</v>
      </c>
      <c r="S29" s="373"/>
      <c r="T29" s="425"/>
      <c r="U29" s="425"/>
    </row>
    <row r="30" spans="3:21" ht="11.25">
      <c r="C30" s="1" t="s">
        <v>168</v>
      </c>
      <c r="D30" s="16">
        <f>'Segment  2007 Qtr'!I55</f>
        <v>0.199</v>
      </c>
      <c r="F30" s="16">
        <v>0.192</v>
      </c>
      <c r="G30" s="373"/>
      <c r="H30" s="16">
        <v>0.201</v>
      </c>
      <c r="I30" s="373"/>
      <c r="J30" s="373">
        <v>0.19</v>
      </c>
      <c r="K30" s="425"/>
      <c r="L30" s="373">
        <v>0.212</v>
      </c>
      <c r="M30" s="373"/>
      <c r="N30" s="373">
        <f>+'Segment  2007 YTD'!I59</f>
        <v>0.195</v>
      </c>
      <c r="O30" s="373"/>
      <c r="P30" s="373">
        <v>0.206</v>
      </c>
      <c r="Q30" s="373"/>
      <c r="R30" s="373">
        <v>0.201</v>
      </c>
      <c r="S30" s="373"/>
      <c r="T30" s="425"/>
      <c r="U30" s="425"/>
    </row>
    <row r="31" spans="3:21" ht="11.25">
      <c r="C31" s="1" t="s">
        <v>169</v>
      </c>
      <c r="D31" s="16">
        <f>'Segment  2007 Qtr'!I56</f>
        <v>0.05</v>
      </c>
      <c r="E31" s="16"/>
      <c r="F31" s="16">
        <v>0.05</v>
      </c>
      <c r="G31" s="373"/>
      <c r="H31" s="16">
        <v>0.037</v>
      </c>
      <c r="I31" s="373"/>
      <c r="J31" s="373">
        <v>0.042</v>
      </c>
      <c r="K31" s="426"/>
      <c r="L31" s="373">
        <v>0.046</v>
      </c>
      <c r="M31" s="374"/>
      <c r="N31" s="373">
        <f>+'Segment  2007 YTD'!I60</f>
        <v>0.05</v>
      </c>
      <c r="O31" s="373"/>
      <c r="P31" s="373">
        <v>0.042</v>
      </c>
      <c r="Q31" s="373"/>
      <c r="R31" s="373">
        <v>0.041</v>
      </c>
      <c r="S31" s="374"/>
      <c r="T31" s="425"/>
      <c r="U31" s="425"/>
    </row>
    <row r="32" spans="3:21" ht="12" thickBot="1">
      <c r="C32" s="172" t="s">
        <v>54</v>
      </c>
      <c r="D32" s="180">
        <f>SUM(D29:D31)</f>
        <v>0.75</v>
      </c>
      <c r="E32" s="180"/>
      <c r="F32" s="180">
        <f>SUM(F29:F31)</f>
        <v>0.78</v>
      </c>
      <c r="G32" s="180"/>
      <c r="H32" s="180">
        <f>SUM(H29:H31)</f>
        <v>0.747</v>
      </c>
      <c r="I32" s="180"/>
      <c r="J32" s="180">
        <f>SUM(J29:J31)</f>
        <v>0.7570000000000001</v>
      </c>
      <c r="K32" s="180"/>
      <c r="L32" s="180">
        <f>SUM(L29:L31)</f>
        <v>0.768</v>
      </c>
      <c r="M32" s="180"/>
      <c r="N32" s="180">
        <f>SUM(N29:N31)</f>
        <v>0.7650000000000001</v>
      </c>
      <c r="O32" s="180"/>
      <c r="P32" s="180">
        <f>SUM(P29:P31)</f>
        <v>0.768</v>
      </c>
      <c r="Q32" s="180"/>
      <c r="R32" s="180">
        <f>SUM(R29:R31)</f>
        <v>0.7600000000000001</v>
      </c>
      <c r="S32" s="180"/>
      <c r="T32" s="17"/>
      <c r="U32" s="17"/>
    </row>
    <row r="33" spans="4:21" ht="12" thickTop="1">
      <c r="D33" s="42"/>
      <c r="E33" s="42"/>
      <c r="F33" s="42"/>
      <c r="G33" s="42"/>
      <c r="H33" s="42"/>
      <c r="I33" s="42"/>
      <c r="J33" s="42"/>
      <c r="K33" s="42"/>
      <c r="L33" s="42"/>
      <c r="M33" s="42"/>
      <c r="N33" s="42"/>
      <c r="O33" s="42"/>
      <c r="P33" s="42"/>
      <c r="Q33" s="42"/>
      <c r="R33" s="42"/>
      <c r="S33" s="42"/>
      <c r="T33" s="75"/>
      <c r="U33" s="75"/>
    </row>
    <row r="34" spans="3:21" ht="11.25">
      <c r="C34" s="14" t="s">
        <v>231</v>
      </c>
      <c r="D34" s="30"/>
      <c r="E34" s="14"/>
      <c r="F34" s="30"/>
      <c r="G34" s="30"/>
      <c r="H34" s="30"/>
      <c r="I34" s="30"/>
      <c r="J34" s="30"/>
      <c r="K34" s="40"/>
      <c r="L34" s="30"/>
      <c r="M34" s="427"/>
      <c r="N34" s="427"/>
      <c r="O34" s="427"/>
      <c r="P34" s="427"/>
      <c r="Q34" s="427"/>
      <c r="R34" s="42"/>
      <c r="S34" s="427"/>
      <c r="T34" s="422"/>
      <c r="U34" s="422"/>
    </row>
    <row r="35" spans="3:21" ht="11.25">
      <c r="C35" s="1" t="s">
        <v>296</v>
      </c>
      <c r="D35" s="37">
        <v>7</v>
      </c>
      <c r="E35" s="42"/>
      <c r="F35" s="37">
        <v>19</v>
      </c>
      <c r="G35" s="37"/>
      <c r="H35" s="37">
        <v>6</v>
      </c>
      <c r="I35" s="37"/>
      <c r="J35" s="37">
        <v>3</v>
      </c>
      <c r="K35" s="31"/>
      <c r="L35" s="37">
        <v>2</v>
      </c>
      <c r="M35" s="37"/>
      <c r="N35" s="37">
        <f>+F35+D35</f>
        <v>26</v>
      </c>
      <c r="O35" s="37"/>
      <c r="P35" s="37">
        <v>5</v>
      </c>
      <c r="Q35" s="37"/>
      <c r="R35" s="37">
        <v>14</v>
      </c>
      <c r="S35" s="37"/>
      <c r="T35" s="37"/>
      <c r="U35" s="37"/>
    </row>
    <row r="36" spans="3:21" ht="12.75" customHeight="1">
      <c r="C36" s="1" t="s">
        <v>312</v>
      </c>
      <c r="D36" s="37">
        <v>-3</v>
      </c>
      <c r="E36" s="42"/>
      <c r="F36" s="37">
        <v>-7</v>
      </c>
      <c r="G36" s="37"/>
      <c r="H36" s="37">
        <v>-7</v>
      </c>
      <c r="I36" s="37"/>
      <c r="J36" s="37">
        <v>3</v>
      </c>
      <c r="K36" s="31"/>
      <c r="L36" s="37">
        <v>-4</v>
      </c>
      <c r="M36" s="37"/>
      <c r="N36" s="37">
        <f>+F36+D36</f>
        <v>-10</v>
      </c>
      <c r="O36" s="37"/>
      <c r="P36" s="37">
        <v>-1</v>
      </c>
      <c r="Q36" s="37"/>
      <c r="R36" s="37">
        <v>-5</v>
      </c>
      <c r="S36" s="37"/>
      <c r="T36" s="37"/>
      <c r="U36" s="37"/>
    </row>
    <row r="37" spans="3:21" ht="11.25">
      <c r="C37" s="57"/>
      <c r="D37" s="37"/>
      <c r="E37" s="57"/>
      <c r="F37" s="37"/>
      <c r="G37" s="57"/>
      <c r="H37" s="428"/>
      <c r="I37" s="428"/>
      <c r="J37" s="42"/>
      <c r="K37" s="42"/>
      <c r="L37" s="42"/>
      <c r="M37" s="42"/>
      <c r="N37" s="42"/>
      <c r="O37" s="42"/>
      <c r="P37" s="42"/>
      <c r="Q37" s="42"/>
      <c r="R37" s="42"/>
      <c r="S37" s="42"/>
      <c r="T37" s="42"/>
      <c r="U37" s="42"/>
    </row>
    <row r="38" spans="3:7" ht="11.25">
      <c r="C38" s="532" t="str">
        <f>+'Financial Highlights'!C49</f>
        <v>(1) See page 21 Non-GAAP Financial Measures.</v>
      </c>
      <c r="D38" s="533"/>
      <c r="E38" s="533"/>
      <c r="F38" s="35"/>
      <c r="G38" s="35"/>
    </row>
    <row r="39" spans="3:5" ht="11.25">
      <c r="C39" s="42"/>
      <c r="D39" s="42"/>
      <c r="E39" s="42"/>
    </row>
  </sheetData>
  <mergeCells count="4">
    <mergeCell ref="C1:S1"/>
    <mergeCell ref="C2:S2"/>
    <mergeCell ref="C3:S3"/>
    <mergeCell ref="C4:S4"/>
  </mergeCells>
  <hyperlinks>
    <hyperlink ref="C38" location="'Reconciliation Non-GAAP'!A1" display="'Reconciliation Non-GAAP'!A1"/>
  </hyperlinks>
  <printOptions/>
  <pageMargins left="0.5" right="0.5" top="0.5" bottom="0.55" header="0.75" footer="0.3"/>
  <pageSetup horizontalDpi="600" verticalDpi="600" orientation="landscape" r:id="rId2"/>
  <headerFooter alignWithMargins="0">
    <oddFooter>&amp;L&amp;A&amp;R&amp;"Arial,Regular"&amp;8Page 9</oddFooter>
  </headerFooter>
  <drawing r:id="rId1"/>
</worksheet>
</file>

<file path=xl/worksheets/sheet12.xml><?xml version="1.0" encoding="utf-8"?>
<worksheet xmlns="http://schemas.openxmlformats.org/spreadsheetml/2006/main" xmlns:r="http://schemas.openxmlformats.org/officeDocument/2006/relationships">
  <sheetPr codeName="Sheet44"/>
  <dimension ref="B1:T50"/>
  <sheetViews>
    <sheetView workbookViewId="0" topLeftCell="A1">
      <selection activeCell="A1" sqref="A1"/>
    </sheetView>
  </sheetViews>
  <sheetFormatPr defaultColWidth="9.33203125" defaultRowHeight="12.75"/>
  <cols>
    <col min="1" max="2" width="3.33203125" style="1" customWidth="1"/>
    <col min="3" max="3" width="42.3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9.16015625" style="1" customWidth="1"/>
    <col min="11" max="11" width="2.33203125" style="1" customWidth="1"/>
    <col min="12" max="12" width="9.16015625" style="23" customWidth="1"/>
    <col min="13" max="13" width="2.33203125" style="23" customWidth="1"/>
    <col min="14" max="14" width="9.16015625" style="23" customWidth="1"/>
    <col min="15" max="15" width="2.33203125" style="23" customWidth="1"/>
    <col min="16" max="16" width="9.16015625" style="23" customWidth="1"/>
    <col min="17" max="17" width="2.33203125" style="23" customWidth="1"/>
    <col min="18" max="18" width="9.16015625" style="23" customWidth="1"/>
    <col min="19" max="19" width="2.33203125" style="23" customWidth="1"/>
    <col min="20" max="20" width="9.33203125" style="7" customWidth="1"/>
    <col min="21" max="22" width="8.83203125" style="0" customWidth="1"/>
    <col min="23" max="30" width="9" style="0" customWidth="1"/>
    <col min="31" max="16384" width="9" style="1" customWidth="1"/>
  </cols>
  <sheetData>
    <row r="1" spans="3:20" ht="12.75">
      <c r="C1" s="622" t="s">
        <v>89</v>
      </c>
      <c r="D1" s="622"/>
      <c r="E1" s="622"/>
      <c r="F1" s="622"/>
      <c r="G1" s="622"/>
      <c r="H1" s="622"/>
      <c r="I1" s="622"/>
      <c r="J1" s="622"/>
      <c r="K1" s="622"/>
      <c r="L1" s="622"/>
      <c r="M1" s="622"/>
      <c r="N1" s="622"/>
      <c r="O1" s="622"/>
      <c r="P1" s="622"/>
      <c r="Q1" s="622"/>
      <c r="R1" s="622"/>
      <c r="S1" s="622"/>
      <c r="T1" s="19"/>
    </row>
    <row r="2" spans="3:20" ht="12">
      <c r="C2" s="623" t="s">
        <v>242</v>
      </c>
      <c r="D2" s="623"/>
      <c r="E2" s="623"/>
      <c r="F2" s="623"/>
      <c r="G2" s="623"/>
      <c r="H2" s="623"/>
      <c r="I2" s="623"/>
      <c r="J2" s="623"/>
      <c r="K2" s="623"/>
      <c r="L2" s="623"/>
      <c r="M2" s="623"/>
      <c r="N2" s="623"/>
      <c r="O2" s="623"/>
      <c r="P2" s="623"/>
      <c r="Q2" s="623"/>
      <c r="R2" s="623"/>
      <c r="S2" s="623"/>
      <c r="T2" s="2"/>
    </row>
    <row r="3" spans="3:20" ht="12">
      <c r="C3" s="626" t="s">
        <v>147</v>
      </c>
      <c r="D3" s="626"/>
      <c r="E3" s="626"/>
      <c r="F3" s="626"/>
      <c r="G3" s="626"/>
      <c r="H3" s="626"/>
      <c r="I3" s="626"/>
      <c r="J3" s="626"/>
      <c r="K3" s="626"/>
      <c r="L3" s="626"/>
      <c r="M3" s="626"/>
      <c r="N3" s="626"/>
      <c r="O3" s="626"/>
      <c r="P3" s="626"/>
      <c r="Q3" s="626"/>
      <c r="R3" s="626"/>
      <c r="S3" s="626"/>
      <c r="T3" s="20"/>
    </row>
    <row r="4" spans="2:20" ht="12">
      <c r="B4" s="507"/>
      <c r="C4" s="626" t="s">
        <v>163</v>
      </c>
      <c r="D4" s="626"/>
      <c r="E4" s="626"/>
      <c r="F4" s="626"/>
      <c r="G4" s="626"/>
      <c r="H4" s="626"/>
      <c r="I4" s="626"/>
      <c r="J4" s="626"/>
      <c r="K4" s="626"/>
      <c r="L4" s="626"/>
      <c r="M4" s="626"/>
      <c r="N4" s="626"/>
      <c r="O4" s="626"/>
      <c r="P4" s="626"/>
      <c r="Q4" s="626"/>
      <c r="R4" s="626"/>
      <c r="S4" s="626"/>
      <c r="T4" s="20"/>
    </row>
    <row r="5" ht="6" customHeight="1"/>
    <row r="6" ht="11.25" customHeight="1">
      <c r="C6" s="507"/>
    </row>
    <row r="7" spans="3:20" ht="12.75">
      <c r="C7" s="3" t="s">
        <v>116</v>
      </c>
      <c r="D7" s="3"/>
      <c r="E7" s="3"/>
      <c r="F7" s="3"/>
      <c r="G7" s="3"/>
      <c r="H7" s="300"/>
      <c r="I7" s="300"/>
      <c r="J7" s="42"/>
      <c r="K7" s="42"/>
      <c r="L7" s="62"/>
      <c r="M7" s="62"/>
      <c r="N7" s="434" t="s">
        <v>256</v>
      </c>
      <c r="O7" s="410"/>
      <c r="P7" s="434" t="s">
        <v>256</v>
      </c>
      <c r="Q7" s="62"/>
      <c r="R7" s="421" t="s">
        <v>17</v>
      </c>
      <c r="S7" s="7"/>
      <c r="T7" s="434"/>
    </row>
    <row r="8" spans="4:20" ht="12.75">
      <c r="D8" s="4" t="s">
        <v>428</v>
      </c>
      <c r="E8" s="79"/>
      <c r="F8" s="4" t="s">
        <v>375</v>
      </c>
      <c r="G8" s="79"/>
      <c r="H8" s="4" t="s">
        <v>361</v>
      </c>
      <c r="I8" s="4"/>
      <c r="J8" s="60" t="s">
        <v>354</v>
      </c>
      <c r="K8" s="403"/>
      <c r="L8" s="60" t="s">
        <v>352</v>
      </c>
      <c r="M8" s="60"/>
      <c r="N8" s="22">
        <v>2007</v>
      </c>
      <c r="O8" s="79"/>
      <c r="P8" s="22">
        <v>2006</v>
      </c>
      <c r="Q8" s="60"/>
      <c r="R8" s="22">
        <v>2006</v>
      </c>
      <c r="S8" s="5"/>
      <c r="T8" s="482"/>
    </row>
    <row r="9" spans="3:20" ht="11.25" customHeight="1">
      <c r="C9" s="14" t="s">
        <v>13</v>
      </c>
      <c r="E9" s="14"/>
      <c r="H9" s="42"/>
      <c r="I9" s="42"/>
      <c r="J9" s="42"/>
      <c r="K9" s="42"/>
      <c r="L9" s="42"/>
      <c r="M9" s="42"/>
      <c r="N9" s="42"/>
      <c r="O9" s="42"/>
      <c r="P9" s="573"/>
      <c r="Q9" s="42"/>
      <c r="R9" s="42"/>
      <c r="S9" s="75"/>
      <c r="T9" s="75"/>
    </row>
    <row r="10" spans="3:20" ht="11.25" customHeight="1">
      <c r="C10" s="1" t="s">
        <v>125</v>
      </c>
      <c r="D10" s="230">
        <f>(+'Global Reinsurance '!D10/'Global Reinsurance '!L10)-1</f>
        <v>-0.19999999999999996</v>
      </c>
      <c r="E10" s="1"/>
      <c r="F10" s="230">
        <v>-0.20666666666666667</v>
      </c>
      <c r="G10" s="230"/>
      <c r="H10" s="230">
        <v>-0.0905797101449275</v>
      </c>
      <c r="I10" s="230"/>
      <c r="J10" s="230">
        <v>-0.25</v>
      </c>
      <c r="K10" s="230"/>
      <c r="L10" s="230">
        <v>0.14</v>
      </c>
      <c r="M10" s="230"/>
      <c r="N10" s="230">
        <f>(+'Global Reinsurance '!N10/'Global Reinsurance '!P10)-1</f>
        <v>-0.20394088669950738</v>
      </c>
      <c r="O10" s="230"/>
      <c r="P10" s="230">
        <v>0.14</v>
      </c>
      <c r="Q10" s="230"/>
      <c r="R10" s="230">
        <v>0.002587322121604174</v>
      </c>
      <c r="S10" s="483"/>
      <c r="T10" s="483"/>
    </row>
    <row r="11" spans="3:20" ht="11.25" customHeight="1">
      <c r="C11" s="1" t="s">
        <v>18</v>
      </c>
      <c r="D11" s="230">
        <f>(+'Global Reinsurance '!D11/'Global Reinsurance '!L11)-1</f>
        <v>-0.16020671834625322</v>
      </c>
      <c r="E11" s="1"/>
      <c r="F11" s="230">
        <v>-0.07547169811320753</v>
      </c>
      <c r="G11" s="230"/>
      <c r="H11" s="230">
        <v>-0.03797468354430378</v>
      </c>
      <c r="I11" s="230"/>
      <c r="J11" s="230">
        <v>-0.09</v>
      </c>
      <c r="K11" s="230"/>
      <c r="L11" s="230">
        <v>0.04</v>
      </c>
      <c r="M11" s="230"/>
      <c r="N11" s="230">
        <f>(+'Global Reinsurance '!N11/'Global Reinsurance '!P11)-1</f>
        <v>-0.1187335092348285</v>
      </c>
      <c r="O11" s="230"/>
      <c r="P11" s="230">
        <v>0.04</v>
      </c>
      <c r="Q11" s="230"/>
      <c r="R11" s="230">
        <v>-0.013063357282821708</v>
      </c>
      <c r="S11" s="483"/>
      <c r="T11" s="483"/>
    </row>
    <row r="12" spans="4:20" ht="7.5" customHeight="1">
      <c r="D12" s="230"/>
      <c r="F12" s="230"/>
      <c r="G12" s="230"/>
      <c r="H12" s="230"/>
      <c r="I12" s="230"/>
      <c r="J12" s="230"/>
      <c r="K12" s="230"/>
      <c r="L12" s="230"/>
      <c r="M12" s="230"/>
      <c r="N12" s="230"/>
      <c r="O12" s="230"/>
      <c r="P12" s="230"/>
      <c r="Q12" s="230"/>
      <c r="R12" s="230"/>
      <c r="S12" s="483"/>
      <c r="T12" s="483"/>
    </row>
    <row r="13" spans="3:20" ht="11.25" customHeight="1">
      <c r="C13" s="14" t="s">
        <v>14</v>
      </c>
      <c r="D13" s="230"/>
      <c r="E13" s="14"/>
      <c r="F13" s="230"/>
      <c r="G13" s="230"/>
      <c r="H13" s="230"/>
      <c r="I13" s="230"/>
      <c r="J13" s="230"/>
      <c r="K13" s="230"/>
      <c r="L13" s="230"/>
      <c r="M13" s="230"/>
      <c r="N13" s="230"/>
      <c r="O13" s="230"/>
      <c r="P13" s="230"/>
      <c r="Q13" s="230"/>
      <c r="R13" s="230"/>
      <c r="S13" s="483"/>
      <c r="T13" s="483"/>
    </row>
    <row r="14" spans="3:20" ht="11.25" customHeight="1">
      <c r="C14" s="1" t="s">
        <v>53</v>
      </c>
      <c r="D14" s="230">
        <f>+'Global Reinsurance '!D10/'Global Reinsurance '!D9</f>
        <v>0.991044776119403</v>
      </c>
      <c r="E14" s="1"/>
      <c r="F14" s="230">
        <v>0.99581589958159</v>
      </c>
      <c r="G14" s="230"/>
      <c r="H14" s="230">
        <v>0.984313725490196</v>
      </c>
      <c r="I14" s="230"/>
      <c r="J14" s="230">
        <v>0.98</v>
      </c>
      <c r="K14" s="230"/>
      <c r="L14" s="230">
        <v>1</v>
      </c>
      <c r="M14" s="230"/>
      <c r="N14" s="230">
        <f>+'Global Reinsurance '!N10/'Global Reinsurance '!N9</f>
        <v>0.993849938499385</v>
      </c>
      <c r="O14" s="230"/>
      <c r="P14" s="230">
        <f>+'Global Reinsurance '!P10/'Global Reinsurance '!P9</f>
        <v>0.9941234084231146</v>
      </c>
      <c r="Q14" s="230"/>
      <c r="R14" s="230">
        <f>+'Global Reinsurance '!R10/'Global Reinsurance '!R9</f>
        <v>0.9891512444160817</v>
      </c>
      <c r="S14" s="483"/>
      <c r="T14" s="483"/>
    </row>
    <row r="15" spans="19:20" ht="6.75" customHeight="1">
      <c r="S15" s="160"/>
      <c r="T15" s="160"/>
    </row>
    <row r="16" spans="3:19" ht="12.75">
      <c r="C16" s="42"/>
      <c r="D16" s="23"/>
      <c r="E16" s="42"/>
      <c r="F16" s="23"/>
      <c r="G16" s="23"/>
      <c r="H16" s="23"/>
      <c r="I16" s="23"/>
      <c r="L16" s="1"/>
      <c r="M16" s="1"/>
      <c r="N16" s="1"/>
      <c r="O16" s="1"/>
      <c r="P16" s="1"/>
      <c r="Q16" s="1"/>
      <c r="R16" s="1"/>
      <c r="S16" s="7"/>
    </row>
    <row r="17" spans="3:19" ht="12.75">
      <c r="C17" s="3" t="s">
        <v>223</v>
      </c>
      <c r="E17" s="3"/>
      <c r="L17" s="1"/>
      <c r="M17" s="1"/>
      <c r="N17" s="434" t="s">
        <v>256</v>
      </c>
      <c r="O17" s="410"/>
      <c r="P17" s="434" t="s">
        <v>256</v>
      </c>
      <c r="Q17" s="1"/>
      <c r="R17" s="421" t="str">
        <f>+R7</f>
        <v>Full Year</v>
      </c>
      <c r="S17" s="7"/>
    </row>
    <row r="18" spans="4:20" ht="11.25" customHeight="1">
      <c r="D18" s="4" t="str">
        <f>D8</f>
        <v>2Q-07</v>
      </c>
      <c r="E18" s="79"/>
      <c r="F18" s="4" t="str">
        <f>F8</f>
        <v>1Q-07</v>
      </c>
      <c r="G18" s="79"/>
      <c r="H18" s="4" t="str">
        <f>H8</f>
        <v>4Q-06</v>
      </c>
      <c r="I18" s="79"/>
      <c r="J18" s="4" t="str">
        <f>J8</f>
        <v>3Q-06</v>
      </c>
      <c r="K18" s="4"/>
      <c r="L18" s="4" t="str">
        <f>L8</f>
        <v>2Q-06</v>
      </c>
      <c r="M18" s="60"/>
      <c r="N18" s="22">
        <v>2007</v>
      </c>
      <c r="O18" s="79"/>
      <c r="P18" s="22">
        <v>2006</v>
      </c>
      <c r="Q18" s="60"/>
      <c r="R18" s="22">
        <f>R8</f>
        <v>2006</v>
      </c>
      <c r="S18" s="5"/>
      <c r="T18" s="75"/>
    </row>
    <row r="19" spans="3:20" ht="11.25" customHeight="1">
      <c r="C19" s="179" t="s">
        <v>124</v>
      </c>
      <c r="D19" s="5"/>
      <c r="E19" s="7"/>
      <c r="F19" s="5"/>
      <c r="G19" s="7"/>
      <c r="H19" s="5"/>
      <c r="I19" s="5"/>
      <c r="J19" s="410"/>
      <c r="K19" s="75"/>
      <c r="L19" s="410"/>
      <c r="M19" s="410"/>
      <c r="N19" s="410"/>
      <c r="O19" s="410"/>
      <c r="P19" s="410"/>
      <c r="Q19" s="410"/>
      <c r="R19" s="482"/>
      <c r="S19" s="410"/>
      <c r="T19" s="75"/>
    </row>
    <row r="20" spans="3:20" ht="11.25" customHeight="1">
      <c r="C20" s="1" t="s">
        <v>403</v>
      </c>
      <c r="D20" s="58">
        <v>121</v>
      </c>
      <c r="F20" s="58">
        <v>174</v>
      </c>
      <c r="H20" s="58">
        <v>16</v>
      </c>
      <c r="I20" s="58"/>
      <c r="J20" s="58">
        <v>53</v>
      </c>
      <c r="K20" s="37"/>
      <c r="L20" s="37">
        <v>112</v>
      </c>
      <c r="M20" s="37"/>
      <c r="N20" s="37">
        <f>+F20+D20</f>
        <v>295</v>
      </c>
      <c r="O20" s="37"/>
      <c r="P20" s="37">
        <v>317</v>
      </c>
      <c r="Q20" s="37"/>
      <c r="R20" s="37">
        <v>386</v>
      </c>
      <c r="S20" s="410"/>
      <c r="T20" s="75"/>
    </row>
    <row r="21" spans="3:20" ht="11.25" customHeight="1">
      <c r="C21" s="1" t="s">
        <v>402</v>
      </c>
      <c r="D21" s="405">
        <v>175</v>
      </c>
      <c r="F21" s="405">
        <v>188</v>
      </c>
      <c r="H21" s="405">
        <v>181</v>
      </c>
      <c r="I21" s="405"/>
      <c r="J21" s="405">
        <v>178</v>
      </c>
      <c r="K21" s="406"/>
      <c r="L21" s="406">
        <v>249</v>
      </c>
      <c r="M21" s="406"/>
      <c r="N21" s="406">
        <f>+F21+D21</f>
        <v>363</v>
      </c>
      <c r="O21" s="406"/>
      <c r="P21" s="406">
        <v>544</v>
      </c>
      <c r="Q21" s="406"/>
      <c r="R21" s="405">
        <v>903</v>
      </c>
      <c r="S21" s="410"/>
      <c r="T21" s="75"/>
    </row>
    <row r="22" spans="3:20" ht="11.25" customHeight="1">
      <c r="C22" s="1" t="s">
        <v>401</v>
      </c>
      <c r="D22" s="405">
        <v>35</v>
      </c>
      <c r="F22" s="405">
        <v>112</v>
      </c>
      <c r="H22" s="405">
        <v>58</v>
      </c>
      <c r="I22" s="405"/>
      <c r="J22" s="405">
        <v>60</v>
      </c>
      <c r="K22" s="406"/>
      <c r="L22" s="406">
        <v>56</v>
      </c>
      <c r="M22" s="406"/>
      <c r="N22" s="406">
        <f>+F22+D22</f>
        <v>147</v>
      </c>
      <c r="O22" s="406"/>
      <c r="P22" s="406">
        <v>160</v>
      </c>
      <c r="Q22" s="406"/>
      <c r="R22" s="405">
        <v>278</v>
      </c>
      <c r="S22" s="410"/>
      <c r="T22" s="75"/>
    </row>
    <row r="23" spans="3:20" ht="12.75">
      <c r="C23" s="1" t="s">
        <v>404</v>
      </c>
      <c r="D23" s="405">
        <v>4</v>
      </c>
      <c r="F23" s="405">
        <v>4</v>
      </c>
      <c r="H23" s="405">
        <v>0</v>
      </c>
      <c r="I23" s="405"/>
      <c r="J23" s="405">
        <v>0</v>
      </c>
      <c r="K23" s="406"/>
      <c r="L23" s="406">
        <v>0</v>
      </c>
      <c r="M23" s="406"/>
      <c r="N23" s="406">
        <f>+F23+D23</f>
        <v>8</v>
      </c>
      <c r="O23" s="406"/>
      <c r="P23" s="406">
        <v>0</v>
      </c>
      <c r="Q23" s="406"/>
      <c r="R23" s="405">
        <v>0</v>
      </c>
      <c r="S23" s="39"/>
      <c r="T23" s="38"/>
    </row>
    <row r="24" spans="3:20" ht="11.25" customHeight="1" thickBot="1">
      <c r="C24" s="185" t="s">
        <v>6</v>
      </c>
      <c r="D24" s="407">
        <f>+SUM(D20:D23)</f>
        <v>335</v>
      </c>
      <c r="E24" s="407"/>
      <c r="F24" s="407">
        <f>+SUM(F20:F23)</f>
        <v>478</v>
      </c>
      <c r="G24" s="407"/>
      <c r="H24" s="407">
        <f>+SUM(H20:H23)</f>
        <v>255</v>
      </c>
      <c r="I24" s="407"/>
      <c r="J24" s="407">
        <f>+SUM(J20:J23)</f>
        <v>291</v>
      </c>
      <c r="K24" s="407"/>
      <c r="L24" s="407">
        <f>+SUM(L20:L23)</f>
        <v>417</v>
      </c>
      <c r="M24" s="407"/>
      <c r="N24" s="407">
        <f>+SUM(N20:N23)</f>
        <v>813</v>
      </c>
      <c r="O24" s="407"/>
      <c r="P24" s="407">
        <f>+SUM(P20:P23)</f>
        <v>1021</v>
      </c>
      <c r="Q24" s="407"/>
      <c r="R24" s="407">
        <f>+SUM(R20:R23)</f>
        <v>1567</v>
      </c>
      <c r="S24" s="553"/>
      <c r="T24" s="231"/>
    </row>
    <row r="25" spans="4:20" ht="6.75" customHeight="1" thickTop="1">
      <c r="D25" s="38"/>
      <c r="F25" s="38"/>
      <c r="H25" s="38"/>
      <c r="I25" s="38"/>
      <c r="J25" s="38"/>
      <c r="K25" s="38"/>
      <c r="L25" s="38"/>
      <c r="M25" s="341"/>
      <c r="N25" s="341"/>
      <c r="O25" s="341"/>
      <c r="P25" s="341"/>
      <c r="Q25" s="341"/>
      <c r="R25" s="85"/>
      <c r="S25" s="341"/>
      <c r="T25" s="369"/>
    </row>
    <row r="26" spans="3:20" ht="11.25" customHeight="1">
      <c r="C26" s="179" t="s">
        <v>125</v>
      </c>
      <c r="D26" s="33"/>
      <c r="E26" s="179"/>
      <c r="F26" s="33"/>
      <c r="G26" s="179"/>
      <c r="H26" s="33"/>
      <c r="I26" s="33"/>
      <c r="J26" s="42"/>
      <c r="K26" s="42"/>
      <c r="L26" s="42"/>
      <c r="M26" s="42"/>
      <c r="N26" s="42"/>
      <c r="O26" s="42"/>
      <c r="P26" s="42"/>
      <c r="Q26" s="42"/>
      <c r="R26" s="42"/>
      <c r="S26" s="75"/>
      <c r="T26" s="75"/>
    </row>
    <row r="27" spans="3:20" ht="11.25" customHeight="1">
      <c r="C27" s="1" t="s">
        <v>403</v>
      </c>
      <c r="D27" s="58">
        <v>120</v>
      </c>
      <c r="F27" s="58">
        <v>174</v>
      </c>
      <c r="H27" s="58">
        <v>13</v>
      </c>
      <c r="I27" s="58"/>
      <c r="J27" s="58">
        <v>49</v>
      </c>
      <c r="K27" s="37"/>
      <c r="L27" s="37">
        <v>113</v>
      </c>
      <c r="M27" s="37"/>
      <c r="N27" s="37">
        <f>+F27+D27</f>
        <v>294</v>
      </c>
      <c r="O27" s="37"/>
      <c r="P27" s="37">
        <v>317</v>
      </c>
      <c r="Q27" s="37"/>
      <c r="R27" s="37">
        <v>379</v>
      </c>
      <c r="S27" s="75"/>
      <c r="T27" s="75"/>
    </row>
    <row r="28" spans="3:20" ht="11.25" customHeight="1">
      <c r="C28" s="1" t="s">
        <v>402</v>
      </c>
      <c r="D28" s="405">
        <v>175</v>
      </c>
      <c r="F28" s="405">
        <v>188</v>
      </c>
      <c r="H28" s="405">
        <v>181</v>
      </c>
      <c r="I28" s="405"/>
      <c r="J28" s="405">
        <v>177</v>
      </c>
      <c r="K28" s="406"/>
      <c r="L28" s="406">
        <v>249</v>
      </c>
      <c r="M28" s="406"/>
      <c r="N28" s="406">
        <f>+F28+D28</f>
        <v>363</v>
      </c>
      <c r="O28" s="406"/>
      <c r="P28" s="406">
        <v>544</v>
      </c>
      <c r="Q28" s="406"/>
      <c r="R28" s="405">
        <v>902</v>
      </c>
      <c r="S28" s="75"/>
      <c r="T28" s="75"/>
    </row>
    <row r="29" spans="3:20" ht="11.25" customHeight="1">
      <c r="C29" s="1" t="s">
        <v>401</v>
      </c>
      <c r="D29" s="405">
        <v>33</v>
      </c>
      <c r="F29" s="405">
        <v>110</v>
      </c>
      <c r="H29" s="405">
        <v>57</v>
      </c>
      <c r="I29" s="405"/>
      <c r="J29" s="405">
        <v>58</v>
      </c>
      <c r="K29" s="406"/>
      <c r="L29" s="406">
        <v>53</v>
      </c>
      <c r="M29" s="406"/>
      <c r="N29" s="406">
        <f>+F29+D29</f>
        <v>143</v>
      </c>
      <c r="O29" s="406"/>
      <c r="P29" s="406">
        <v>154</v>
      </c>
      <c r="Q29" s="406"/>
      <c r="R29" s="405">
        <v>269</v>
      </c>
      <c r="S29" s="59"/>
      <c r="T29" s="59"/>
    </row>
    <row r="30" spans="3:20" ht="12.75">
      <c r="C30" s="1" t="s">
        <v>404</v>
      </c>
      <c r="D30" s="405">
        <v>4</v>
      </c>
      <c r="F30" s="405">
        <v>4</v>
      </c>
      <c r="H30" s="405">
        <v>0</v>
      </c>
      <c r="I30" s="405"/>
      <c r="J30" s="405">
        <v>0</v>
      </c>
      <c r="K30" s="406"/>
      <c r="L30" s="406">
        <v>0</v>
      </c>
      <c r="M30" s="406"/>
      <c r="N30" s="406">
        <f>+F30+D30</f>
        <v>8</v>
      </c>
      <c r="O30" s="406"/>
      <c r="P30" s="406">
        <v>0</v>
      </c>
      <c r="Q30" s="406"/>
      <c r="R30" s="405">
        <v>0</v>
      </c>
      <c r="S30" s="39"/>
      <c r="T30" s="38"/>
    </row>
    <row r="31" spans="3:20" ht="13.5" thickBot="1">
      <c r="C31" s="185" t="s">
        <v>6</v>
      </c>
      <c r="D31" s="407">
        <f>+SUM(D27:D30)</f>
        <v>332</v>
      </c>
      <c r="E31" s="407"/>
      <c r="F31" s="407">
        <f>+SUM(F27:F30)</f>
        <v>476</v>
      </c>
      <c r="G31" s="407"/>
      <c r="H31" s="407">
        <f>+SUM(H27:H30)</f>
        <v>251</v>
      </c>
      <c r="I31" s="407"/>
      <c r="J31" s="407">
        <f>+SUM(J27:J30)</f>
        <v>284</v>
      </c>
      <c r="K31" s="407"/>
      <c r="L31" s="407">
        <f>+SUM(L27:L30)</f>
        <v>415</v>
      </c>
      <c r="M31" s="407"/>
      <c r="N31" s="407">
        <f>+SUM(N27:N30)</f>
        <v>808</v>
      </c>
      <c r="O31" s="407"/>
      <c r="P31" s="407">
        <f>+SUM(P27:P30)</f>
        <v>1015</v>
      </c>
      <c r="Q31" s="407"/>
      <c r="R31" s="407">
        <f>+SUM(R27:R30)</f>
        <v>1550</v>
      </c>
      <c r="S31" s="553"/>
      <c r="T31" s="231"/>
    </row>
    <row r="32" spans="3:20" ht="7.5" customHeight="1" thickTop="1">
      <c r="C32" s="55"/>
      <c r="D32" s="85"/>
      <c r="E32" s="55"/>
      <c r="F32" s="85"/>
      <c r="G32" s="55"/>
      <c r="H32" s="85"/>
      <c r="I32" s="85"/>
      <c r="J32" s="85"/>
      <c r="K32" s="38"/>
      <c r="L32" s="85"/>
      <c r="M32" s="367"/>
      <c r="N32" s="367"/>
      <c r="O32" s="367"/>
      <c r="P32" s="367"/>
      <c r="Q32" s="367"/>
      <c r="R32" s="38"/>
      <c r="S32" s="367"/>
      <c r="T32" s="370"/>
    </row>
    <row r="33" spans="3:20" ht="12.75">
      <c r="C33" s="179" t="s">
        <v>126</v>
      </c>
      <c r="D33" s="40"/>
      <c r="E33" s="179"/>
      <c r="F33" s="40"/>
      <c r="G33" s="179"/>
      <c r="H33" s="40"/>
      <c r="I33" s="40"/>
      <c r="J33" s="42"/>
      <c r="K33" s="42"/>
      <c r="L33" s="42"/>
      <c r="M33" s="42"/>
      <c r="N33" s="42"/>
      <c r="O33" s="42"/>
      <c r="P33" s="42"/>
      <c r="Q33" s="42"/>
      <c r="R33" s="42"/>
      <c r="S33" s="42"/>
      <c r="T33" s="75"/>
    </row>
    <row r="34" spans="3:20" ht="12.75">
      <c r="C34" s="1" t="s">
        <v>403</v>
      </c>
      <c r="D34" s="58">
        <v>87</v>
      </c>
      <c r="F34" s="58">
        <v>88</v>
      </c>
      <c r="H34" s="58">
        <v>96</v>
      </c>
      <c r="I34" s="58"/>
      <c r="J34" s="58">
        <v>97</v>
      </c>
      <c r="K34" s="37"/>
      <c r="L34" s="37">
        <v>88</v>
      </c>
      <c r="M34" s="37"/>
      <c r="N34" s="37">
        <f>+F34+D34</f>
        <v>175</v>
      </c>
      <c r="O34" s="37"/>
      <c r="P34" s="37">
        <v>174</v>
      </c>
      <c r="Q34" s="37"/>
      <c r="R34" s="37">
        <v>367</v>
      </c>
      <c r="S34" s="42"/>
      <c r="T34" s="75"/>
    </row>
    <row r="35" spans="3:20" ht="12.75">
      <c r="C35" s="1" t="s">
        <v>402</v>
      </c>
      <c r="D35" s="405">
        <v>177</v>
      </c>
      <c r="F35" s="405">
        <v>187</v>
      </c>
      <c r="H35" s="405">
        <v>216</v>
      </c>
      <c r="I35" s="405"/>
      <c r="J35" s="405">
        <v>210</v>
      </c>
      <c r="K35" s="406"/>
      <c r="L35" s="406">
        <v>231</v>
      </c>
      <c r="M35" s="406"/>
      <c r="N35" s="406">
        <f>+F35+D35</f>
        <v>364</v>
      </c>
      <c r="O35" s="406"/>
      <c r="P35" s="406">
        <v>446</v>
      </c>
      <c r="Q35" s="406"/>
      <c r="R35" s="405">
        <v>872</v>
      </c>
      <c r="S35" s="42"/>
      <c r="T35" s="75"/>
    </row>
    <row r="36" spans="3:20" ht="12.75">
      <c r="C36" s="1" t="s">
        <v>401</v>
      </c>
      <c r="D36" s="405">
        <v>60</v>
      </c>
      <c r="F36" s="405">
        <v>67</v>
      </c>
      <c r="H36" s="405">
        <v>68</v>
      </c>
      <c r="I36" s="405"/>
      <c r="J36" s="405">
        <v>66</v>
      </c>
      <c r="K36" s="406"/>
      <c r="L36" s="406">
        <v>68</v>
      </c>
      <c r="M36" s="406"/>
      <c r="N36" s="406">
        <f>+F36+D36</f>
        <v>127</v>
      </c>
      <c r="O36" s="406"/>
      <c r="P36" s="406">
        <v>138</v>
      </c>
      <c r="Q36" s="406"/>
      <c r="R36" s="405">
        <v>272</v>
      </c>
      <c r="S36" s="42"/>
      <c r="T36" s="75"/>
    </row>
    <row r="37" spans="3:20" ht="12.75">
      <c r="C37" s="1" t="s">
        <v>404</v>
      </c>
      <c r="D37" s="405">
        <v>1</v>
      </c>
      <c r="F37" s="405">
        <v>1</v>
      </c>
      <c r="H37" s="405">
        <v>0</v>
      </c>
      <c r="I37" s="405"/>
      <c r="J37" s="405">
        <v>0</v>
      </c>
      <c r="K37" s="406"/>
      <c r="L37" s="406">
        <v>0</v>
      </c>
      <c r="M37" s="406"/>
      <c r="N37" s="406">
        <f>+F37+D37</f>
        <v>2</v>
      </c>
      <c r="O37" s="406"/>
      <c r="P37" s="406">
        <v>0</v>
      </c>
      <c r="Q37" s="406"/>
      <c r="R37" s="405">
        <v>0</v>
      </c>
      <c r="S37" s="39"/>
      <c r="T37" s="38"/>
    </row>
    <row r="38" spans="3:20" ht="13.5" thickBot="1">
      <c r="C38" s="185" t="s">
        <v>6</v>
      </c>
      <c r="D38" s="407">
        <f>+SUM(D34:D37)</f>
        <v>325</v>
      </c>
      <c r="E38" s="407"/>
      <c r="F38" s="407">
        <f>+SUM(F34:F37)</f>
        <v>343</v>
      </c>
      <c r="G38" s="407"/>
      <c r="H38" s="407">
        <f>+SUM(H34:H37)</f>
        <v>380</v>
      </c>
      <c r="I38" s="407"/>
      <c r="J38" s="407">
        <f>+SUM(J34:J37)</f>
        <v>373</v>
      </c>
      <c r="K38" s="407"/>
      <c r="L38" s="407">
        <f>+SUM(L34:L37)</f>
        <v>387</v>
      </c>
      <c r="M38" s="407"/>
      <c r="N38" s="407">
        <f>+SUM(N34:N37)</f>
        <v>668</v>
      </c>
      <c r="O38" s="407"/>
      <c r="P38" s="407">
        <f>+SUM(P34:P37)</f>
        <v>758</v>
      </c>
      <c r="Q38" s="407"/>
      <c r="R38" s="407">
        <f>+SUM(R34:R37)</f>
        <v>1511</v>
      </c>
      <c r="S38" s="553"/>
      <c r="T38" s="231"/>
    </row>
    <row r="39" spans="3:20" ht="7.5" customHeight="1" thickTop="1">
      <c r="C39" s="55"/>
      <c r="D39" s="369"/>
      <c r="E39" s="55"/>
      <c r="F39" s="369"/>
      <c r="G39" s="369"/>
      <c r="H39" s="369"/>
      <c r="I39" s="369"/>
      <c r="J39" s="75"/>
      <c r="K39" s="75"/>
      <c r="L39" s="142"/>
      <c r="M39" s="142"/>
      <c r="N39" s="142"/>
      <c r="O39" s="142"/>
      <c r="P39" s="142"/>
      <c r="Q39" s="142"/>
      <c r="R39"/>
      <c r="S39" s="142"/>
      <c r="T39" s="75"/>
    </row>
    <row r="40" spans="3:20" ht="12.75">
      <c r="C40" s="36" t="s">
        <v>53</v>
      </c>
      <c r="D40" s="16"/>
      <c r="E40" s="36"/>
      <c r="F40" s="16"/>
      <c r="G40" s="16"/>
      <c r="H40" s="16"/>
      <c r="I40" s="16"/>
      <c r="J40" s="16"/>
      <c r="K40" s="16"/>
      <c r="L40" s="26"/>
      <c r="M40" s="26"/>
      <c r="N40" s="26"/>
      <c r="O40" s="26"/>
      <c r="P40" s="26"/>
      <c r="Q40" s="26"/>
      <c r="R40" s="16"/>
      <c r="S40" s="56"/>
      <c r="T40" s="75"/>
    </row>
    <row r="41" spans="3:20" ht="12.75">
      <c r="C41" s="1" t="s">
        <v>403</v>
      </c>
      <c r="D41" s="241">
        <f>+D27/D20</f>
        <v>0.9917355371900827</v>
      </c>
      <c r="F41" s="241">
        <f>+F27/F20</f>
        <v>1</v>
      </c>
      <c r="G41" s="241"/>
      <c r="H41" s="241">
        <f>+H27/H20</f>
        <v>0.8125</v>
      </c>
      <c r="I41" s="241"/>
      <c r="J41" s="241">
        <f>+J27/J20</f>
        <v>0.9245283018867925</v>
      </c>
      <c r="K41" s="241"/>
      <c r="L41" s="241">
        <f>+L27/L20</f>
        <v>1.0089285714285714</v>
      </c>
      <c r="M41" s="230"/>
      <c r="N41" s="241">
        <f>+N27/N20</f>
        <v>0.9966101694915255</v>
      </c>
      <c r="O41" s="230"/>
      <c r="P41" s="241">
        <f>+P27/P20</f>
        <v>1</v>
      </c>
      <c r="Q41" s="230"/>
      <c r="R41" s="241">
        <f>+R27/R20</f>
        <v>0.9818652849740933</v>
      </c>
      <c r="S41" s="56"/>
      <c r="T41" s="75"/>
    </row>
    <row r="42" spans="3:20" ht="12.75">
      <c r="C42" s="1" t="s">
        <v>402</v>
      </c>
      <c r="D42" s="241">
        <f>+D28/D21</f>
        <v>1</v>
      </c>
      <c r="F42" s="241">
        <f>+F28/F21</f>
        <v>1</v>
      </c>
      <c r="G42" s="241"/>
      <c r="H42" s="241">
        <f>+H28/H21</f>
        <v>1</v>
      </c>
      <c r="I42" s="241"/>
      <c r="J42" s="241">
        <f>+J28/J21</f>
        <v>0.9943820224719101</v>
      </c>
      <c r="K42" s="241"/>
      <c r="L42" s="241">
        <f>+L28/L21</f>
        <v>1</v>
      </c>
      <c r="M42" s="230"/>
      <c r="N42" s="241">
        <f>+N28/N21</f>
        <v>1</v>
      </c>
      <c r="O42" s="230"/>
      <c r="P42" s="241">
        <f>+P28/P21</f>
        <v>1</v>
      </c>
      <c r="Q42" s="230"/>
      <c r="R42" s="241">
        <f>+R28/R21</f>
        <v>0.9988925802879292</v>
      </c>
      <c r="S42" s="56"/>
      <c r="T42" s="75"/>
    </row>
    <row r="43" spans="3:20" ht="12.75">
      <c r="C43" s="1" t="s">
        <v>401</v>
      </c>
      <c r="D43" s="241">
        <f>+D29/D22</f>
        <v>0.9428571428571428</v>
      </c>
      <c r="F43" s="241">
        <f>+F29/F22</f>
        <v>0.9821428571428571</v>
      </c>
      <c r="G43" s="241"/>
      <c r="H43" s="241">
        <f>+H29/H22</f>
        <v>0.9827586206896551</v>
      </c>
      <c r="I43" s="241"/>
      <c r="J43" s="241">
        <f>+J29/J22</f>
        <v>0.9666666666666667</v>
      </c>
      <c r="K43" s="241"/>
      <c r="L43" s="241">
        <f>+L29/L22</f>
        <v>0.9464285714285714</v>
      </c>
      <c r="M43" s="230"/>
      <c r="N43" s="241">
        <f>+N29/N22</f>
        <v>0.9727891156462585</v>
      </c>
      <c r="O43" s="230"/>
      <c r="P43" s="241">
        <f>+P29/P22</f>
        <v>0.9625</v>
      </c>
      <c r="Q43" s="230"/>
      <c r="R43" s="241">
        <f>+R29/R22</f>
        <v>0.9676258992805755</v>
      </c>
      <c r="S43" s="483"/>
      <c r="T43" s="242"/>
    </row>
    <row r="44" spans="3:20" ht="12.75">
      <c r="C44" s="1" t="s">
        <v>404</v>
      </c>
      <c r="D44" s="241">
        <f>+D30/D23</f>
        <v>1</v>
      </c>
      <c r="F44" s="241">
        <f>+F30/F23</f>
        <v>1</v>
      </c>
      <c r="G44" s="241"/>
      <c r="H44" s="405">
        <v>0</v>
      </c>
      <c r="I44" s="241"/>
      <c r="J44" s="405">
        <v>0</v>
      </c>
      <c r="K44" s="241"/>
      <c r="L44" s="405">
        <v>0</v>
      </c>
      <c r="M44" s="230"/>
      <c r="N44" s="241">
        <f>+N30/N23</f>
        <v>1</v>
      </c>
      <c r="O44" s="230"/>
      <c r="P44" s="405">
        <v>0</v>
      </c>
      <c r="Q44" s="230"/>
      <c r="R44" s="405">
        <v>0</v>
      </c>
      <c r="S44" s="483"/>
      <c r="T44" s="242"/>
    </row>
    <row r="45" spans="3:20" ht="13.5" thickBot="1">
      <c r="C45" s="185" t="s">
        <v>8</v>
      </c>
      <c r="D45" s="243">
        <f>+D31/D24</f>
        <v>0.991044776119403</v>
      </c>
      <c r="E45" s="457"/>
      <c r="F45" s="243">
        <f>+F31/F24</f>
        <v>0.99581589958159</v>
      </c>
      <c r="G45" s="243"/>
      <c r="H45" s="243">
        <f>+H31/H24</f>
        <v>0.984313725490196</v>
      </c>
      <c r="I45" s="243"/>
      <c r="J45" s="243">
        <f>+J31/J24</f>
        <v>0.9759450171821306</v>
      </c>
      <c r="K45" s="243"/>
      <c r="L45" s="243">
        <f>+L31/L24</f>
        <v>0.9952038369304557</v>
      </c>
      <c r="M45" s="244"/>
      <c r="N45" s="243">
        <f>+N31/N24</f>
        <v>0.993849938499385</v>
      </c>
      <c r="O45" s="244"/>
      <c r="P45" s="243">
        <f>+P31/P24</f>
        <v>0.9941234084231146</v>
      </c>
      <c r="Q45" s="244"/>
      <c r="R45" s="243">
        <f>+R31/R24</f>
        <v>0.9891512444160817</v>
      </c>
      <c r="S45" s="554"/>
      <c r="T45" s="376"/>
    </row>
    <row r="46" spans="6:20" ht="13.5" thickTop="1">
      <c r="F46" s="42"/>
      <c r="G46" s="42"/>
      <c r="H46" s="42"/>
      <c r="I46" s="42"/>
      <c r="J46" s="42"/>
      <c r="K46" s="42"/>
      <c r="L46" s="42"/>
      <c r="M46" s="42"/>
      <c r="N46" s="42"/>
      <c r="O46" s="42"/>
      <c r="P46" s="42"/>
      <c r="Q46" s="42"/>
      <c r="R46" s="42"/>
      <c r="S46" s="75"/>
      <c r="T46" s="75"/>
    </row>
    <row r="47" spans="8:20" ht="12.75">
      <c r="H47" s="42"/>
      <c r="I47" s="42"/>
      <c r="J47" s="42"/>
      <c r="K47" s="42"/>
      <c r="L47" s="62"/>
      <c r="M47" s="62"/>
      <c r="N47" s="62"/>
      <c r="O47" s="62"/>
      <c r="P47" s="62"/>
      <c r="Q47" s="62"/>
      <c r="R47" s="62"/>
      <c r="S47" s="62"/>
      <c r="T47" s="75"/>
    </row>
    <row r="50" spans="3:7" ht="12.75">
      <c r="C50" s="100"/>
      <c r="D50" s="100"/>
      <c r="E50" s="100"/>
      <c r="F50" s="100"/>
      <c r="G50" s="100"/>
    </row>
  </sheetData>
  <mergeCells count="4">
    <mergeCell ref="C1:S1"/>
    <mergeCell ref="C3:S3"/>
    <mergeCell ref="C4:S4"/>
    <mergeCell ref="C2:S2"/>
  </mergeCells>
  <printOptions/>
  <pageMargins left="0.5" right="0.5" top="0.5" bottom="0.55" header="0.75" footer="0.3"/>
  <pageSetup horizontalDpi="600" verticalDpi="600" orientation="landscape" r:id="rId2"/>
  <headerFooter alignWithMargins="0">
    <oddFooter>&amp;L&amp;A&amp;R&amp;"Arial,Regular"&amp;8Page 10</oddFooter>
  </headerFooter>
  <drawing r:id="rId1"/>
</worksheet>
</file>

<file path=xl/worksheets/sheet13.xml><?xml version="1.0" encoding="utf-8"?>
<worksheet xmlns="http://schemas.openxmlformats.org/spreadsheetml/2006/main" xmlns:r="http://schemas.openxmlformats.org/officeDocument/2006/relationships">
  <sheetPr codeName="Sheet24"/>
  <dimension ref="C1:S28"/>
  <sheetViews>
    <sheetView workbookViewId="0" topLeftCell="A1">
      <selection activeCell="A1" sqref="A1"/>
    </sheetView>
  </sheetViews>
  <sheetFormatPr defaultColWidth="9.33203125" defaultRowHeight="12.75"/>
  <cols>
    <col min="1" max="2" width="3.33203125" style="1" customWidth="1"/>
    <col min="3" max="3" width="43.3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23" customWidth="1"/>
    <col min="13" max="13" width="2.33203125" style="23" customWidth="1"/>
    <col min="14" max="14" width="8.83203125" style="23" customWidth="1"/>
    <col min="15" max="15" width="2.33203125" style="23" customWidth="1"/>
    <col min="16" max="16" width="8.83203125" style="23" customWidth="1"/>
    <col min="17" max="17" width="2.33203125" style="23" customWidth="1"/>
    <col min="18" max="18" width="8.83203125" style="23" customWidth="1"/>
    <col min="19" max="19" width="2.33203125" style="23" customWidth="1"/>
    <col min="20" max="23" width="9" style="1" customWidth="1"/>
    <col min="24" max="38" width="9" style="0" customWidth="1"/>
    <col min="39" max="16384" width="9" style="1" customWidth="1"/>
  </cols>
  <sheetData>
    <row r="1" spans="3:19" ht="12.75">
      <c r="C1" s="622" t="s">
        <v>89</v>
      </c>
      <c r="D1" s="622"/>
      <c r="E1" s="622"/>
      <c r="F1" s="622"/>
      <c r="G1" s="622"/>
      <c r="H1" s="622"/>
      <c r="I1" s="622"/>
      <c r="J1" s="622"/>
      <c r="K1" s="622"/>
      <c r="L1" s="622"/>
      <c r="M1" s="622"/>
      <c r="N1" s="622"/>
      <c r="O1" s="622"/>
      <c r="P1" s="622"/>
      <c r="Q1" s="622"/>
      <c r="R1" s="622"/>
      <c r="S1" s="622"/>
    </row>
    <row r="2" spans="3:19" ht="11.25" customHeight="1">
      <c r="C2" s="623" t="s">
        <v>75</v>
      </c>
      <c r="D2" s="623"/>
      <c r="E2" s="623"/>
      <c r="F2" s="623"/>
      <c r="G2" s="623"/>
      <c r="H2" s="623"/>
      <c r="I2" s="623"/>
      <c r="J2" s="623"/>
      <c r="K2" s="623"/>
      <c r="L2" s="623"/>
      <c r="M2" s="623"/>
      <c r="N2" s="623"/>
      <c r="O2" s="623"/>
      <c r="P2" s="623"/>
      <c r="Q2" s="623"/>
      <c r="R2" s="623"/>
      <c r="S2" s="623"/>
    </row>
    <row r="3" spans="3:19" ht="11.25" customHeight="1">
      <c r="C3" s="626" t="s">
        <v>147</v>
      </c>
      <c r="D3" s="626"/>
      <c r="E3" s="626"/>
      <c r="F3" s="626"/>
      <c r="G3" s="626"/>
      <c r="H3" s="626"/>
      <c r="I3" s="626"/>
      <c r="J3" s="626"/>
      <c r="K3" s="626"/>
      <c r="L3" s="626"/>
      <c r="M3" s="626"/>
      <c r="N3" s="626"/>
      <c r="O3" s="626"/>
      <c r="P3" s="626"/>
      <c r="Q3" s="626"/>
      <c r="R3" s="626"/>
      <c r="S3" s="626"/>
    </row>
    <row r="4" spans="3:19" ht="11.25" customHeight="1">
      <c r="C4" s="626" t="s">
        <v>163</v>
      </c>
      <c r="D4" s="626"/>
      <c r="E4" s="626"/>
      <c r="F4" s="626"/>
      <c r="G4" s="626"/>
      <c r="H4" s="626"/>
      <c r="I4" s="626"/>
      <c r="J4" s="626"/>
      <c r="K4" s="626"/>
      <c r="L4" s="626"/>
      <c r="M4" s="626"/>
      <c r="N4" s="626"/>
      <c r="O4" s="626"/>
      <c r="P4" s="626"/>
      <c r="Q4" s="626"/>
      <c r="R4" s="626"/>
      <c r="S4" s="626"/>
    </row>
    <row r="5" spans="3:9" ht="11.25" customHeight="1">
      <c r="C5" s="507"/>
      <c r="E5" s="14"/>
      <c r="F5" s="14"/>
      <c r="G5" s="14"/>
      <c r="H5" s="14"/>
      <c r="I5" s="14"/>
    </row>
    <row r="6" spans="3:19" ht="12.75">
      <c r="C6" s="3" t="s">
        <v>311</v>
      </c>
      <c r="N6" s="434" t="s">
        <v>256</v>
      </c>
      <c r="O6" s="410"/>
      <c r="P6" s="434" t="s">
        <v>256</v>
      </c>
      <c r="R6" s="21" t="s">
        <v>17</v>
      </c>
      <c r="S6" s="7"/>
    </row>
    <row r="7" spans="4:19" ht="11.25" customHeight="1">
      <c r="D7" s="4" t="s">
        <v>428</v>
      </c>
      <c r="E7" s="79"/>
      <c r="F7" s="4" t="s">
        <v>375</v>
      </c>
      <c r="G7" s="79"/>
      <c r="H7" s="4" t="s">
        <v>361</v>
      </c>
      <c r="I7" s="79"/>
      <c r="J7" s="4" t="s">
        <v>354</v>
      </c>
      <c r="K7" s="4"/>
      <c r="L7" s="4" t="s">
        <v>352</v>
      </c>
      <c r="M7" s="4"/>
      <c r="N7" s="22">
        <v>2007</v>
      </c>
      <c r="O7" s="79"/>
      <c r="P7" s="22">
        <v>2006</v>
      </c>
      <c r="Q7" s="4"/>
      <c r="R7" s="22">
        <v>2006</v>
      </c>
      <c r="S7" s="5"/>
    </row>
    <row r="8" spans="12:19" ht="13.5" customHeight="1">
      <c r="L8" s="167"/>
      <c r="R8" s="1"/>
      <c r="S8" s="61"/>
    </row>
    <row r="9" spans="3:19" ht="11.25" customHeight="1">
      <c r="C9" s="1" t="s">
        <v>507</v>
      </c>
      <c r="D9" s="250">
        <f>+'Segment  2007 Qtr'!O10</f>
        <v>92</v>
      </c>
      <c r="F9" s="250">
        <v>90</v>
      </c>
      <c r="G9" s="341"/>
      <c r="H9" s="250">
        <v>78</v>
      </c>
      <c r="I9" s="341"/>
      <c r="J9" s="250">
        <v>69</v>
      </c>
      <c r="K9" s="341"/>
      <c r="L9" s="250">
        <v>66</v>
      </c>
      <c r="M9" s="341"/>
      <c r="N9" s="250">
        <f aca="true" t="shared" si="0" ref="N9:N15">+F9+D9</f>
        <v>182</v>
      </c>
      <c r="O9" s="341"/>
      <c r="P9" s="250">
        <v>127</v>
      </c>
      <c r="Q9" s="341"/>
      <c r="R9" s="31">
        <v>274</v>
      </c>
      <c r="S9" s="341"/>
    </row>
    <row r="10" spans="3:19" ht="11.25" customHeight="1">
      <c r="C10" s="1" t="s">
        <v>125</v>
      </c>
      <c r="D10" s="443">
        <f>+'Segment  2007 Qtr'!O11</f>
        <v>87</v>
      </c>
      <c r="F10" s="53">
        <v>88</v>
      </c>
      <c r="G10" s="53"/>
      <c r="H10" s="53">
        <v>78</v>
      </c>
      <c r="I10" s="53"/>
      <c r="J10" s="53">
        <v>69</v>
      </c>
      <c r="K10" s="53"/>
      <c r="L10" s="53">
        <v>66</v>
      </c>
      <c r="M10" s="53"/>
      <c r="N10" s="53">
        <f t="shared" si="0"/>
        <v>175</v>
      </c>
      <c r="O10" s="53"/>
      <c r="P10" s="53">
        <v>127</v>
      </c>
      <c r="Q10" s="53"/>
      <c r="R10" s="63">
        <v>274</v>
      </c>
      <c r="S10" s="53"/>
    </row>
    <row r="11" spans="3:19" ht="11.25" customHeight="1">
      <c r="C11" s="1" t="s">
        <v>126</v>
      </c>
      <c r="D11" s="443">
        <f>+'Segment  2007 Qtr'!O12</f>
        <v>87</v>
      </c>
      <c r="F11" s="53">
        <v>88</v>
      </c>
      <c r="G11" s="53"/>
      <c r="H11" s="53">
        <v>78</v>
      </c>
      <c r="I11" s="53"/>
      <c r="J11" s="53">
        <v>69</v>
      </c>
      <c r="K11" s="53"/>
      <c r="L11" s="53">
        <v>66</v>
      </c>
      <c r="M11" s="53"/>
      <c r="N11" s="53">
        <f t="shared" si="0"/>
        <v>175</v>
      </c>
      <c r="O11" s="53"/>
      <c r="P11" s="53">
        <v>127</v>
      </c>
      <c r="Q11" s="53"/>
      <c r="R11" s="63">
        <v>274</v>
      </c>
      <c r="S11" s="53"/>
    </row>
    <row r="12" spans="3:19" ht="11.25" customHeight="1">
      <c r="C12" s="15" t="s">
        <v>118</v>
      </c>
      <c r="D12" s="443">
        <f>+'Segment  2007 Qtr'!O14</f>
        <v>33</v>
      </c>
      <c r="E12" s="15"/>
      <c r="F12" s="53">
        <v>36</v>
      </c>
      <c r="G12" s="53"/>
      <c r="H12" s="53">
        <v>32</v>
      </c>
      <c r="I12" s="53"/>
      <c r="J12" s="53">
        <v>29</v>
      </c>
      <c r="K12" s="53"/>
      <c r="L12" s="53">
        <v>34</v>
      </c>
      <c r="M12" s="53"/>
      <c r="N12" s="53">
        <f t="shared" si="0"/>
        <v>69</v>
      </c>
      <c r="O12" s="53"/>
      <c r="P12" s="53">
        <v>62</v>
      </c>
      <c r="Q12" s="53"/>
      <c r="R12" s="63">
        <v>123</v>
      </c>
      <c r="S12" s="53"/>
    </row>
    <row r="13" spans="3:19" ht="11.25" customHeight="1">
      <c r="C13" s="1" t="s">
        <v>129</v>
      </c>
      <c r="D13" s="443">
        <f>+'Segment  2007 Qtr'!O15</f>
        <v>12</v>
      </c>
      <c r="F13" s="53">
        <v>11</v>
      </c>
      <c r="G13" s="53"/>
      <c r="H13" s="53">
        <v>9</v>
      </c>
      <c r="I13" s="53"/>
      <c r="J13" s="53">
        <v>7</v>
      </c>
      <c r="K13" s="53"/>
      <c r="L13" s="53">
        <v>4</v>
      </c>
      <c r="M13" s="53"/>
      <c r="N13" s="53">
        <f t="shared" si="0"/>
        <v>23</v>
      </c>
      <c r="O13" s="53"/>
      <c r="P13" s="53">
        <v>10</v>
      </c>
      <c r="Q13" s="53"/>
      <c r="R13" s="63">
        <v>26</v>
      </c>
      <c r="S13" s="53"/>
    </row>
    <row r="14" spans="3:19" ht="11.25" customHeight="1">
      <c r="C14" s="1" t="s">
        <v>127</v>
      </c>
      <c r="D14" s="443">
        <f>+'Segment  2007 Qtr'!O16</f>
        <v>12</v>
      </c>
      <c r="F14" s="53">
        <v>12</v>
      </c>
      <c r="G14" s="53"/>
      <c r="H14" s="53">
        <v>12</v>
      </c>
      <c r="I14" s="53"/>
      <c r="J14" s="53">
        <v>8</v>
      </c>
      <c r="K14" s="53"/>
      <c r="L14" s="53">
        <v>8</v>
      </c>
      <c r="M14" s="53"/>
      <c r="N14" s="53">
        <f t="shared" si="0"/>
        <v>24</v>
      </c>
      <c r="O14" s="53"/>
      <c r="P14" s="53">
        <v>15</v>
      </c>
      <c r="Q14" s="53"/>
      <c r="R14" s="63">
        <v>35</v>
      </c>
      <c r="S14" s="53"/>
    </row>
    <row r="15" spans="3:19" ht="11.25" customHeight="1">
      <c r="C15" s="1" t="s">
        <v>121</v>
      </c>
      <c r="D15" s="53">
        <f>+'Segment  2007 Qtr'!O19</f>
        <v>14</v>
      </c>
      <c r="E15" s="79"/>
      <c r="F15" s="53">
        <v>12</v>
      </c>
      <c r="G15" s="53"/>
      <c r="H15" s="53">
        <v>12</v>
      </c>
      <c r="I15" s="53"/>
      <c r="J15" s="53">
        <v>11</v>
      </c>
      <c r="K15" s="251"/>
      <c r="L15" s="53">
        <v>9</v>
      </c>
      <c r="M15" s="251"/>
      <c r="N15" s="53">
        <f t="shared" si="0"/>
        <v>26</v>
      </c>
      <c r="O15" s="53"/>
      <c r="P15" s="53">
        <v>19</v>
      </c>
      <c r="Q15" s="63"/>
      <c r="R15" s="63">
        <v>42</v>
      </c>
      <c r="S15" s="53"/>
    </row>
    <row r="16" spans="3:19" ht="12.75" customHeight="1">
      <c r="C16" s="1" t="s">
        <v>508</v>
      </c>
      <c r="D16" s="442">
        <f>+D11-D12-D13-D14+D15</f>
        <v>44</v>
      </c>
      <c r="F16" s="442">
        <f>+F11-F12-F13-F14+F15</f>
        <v>41</v>
      </c>
      <c r="G16" s="259"/>
      <c r="H16" s="442">
        <f>+H11-H12-H13-H14+H15</f>
        <v>37</v>
      </c>
      <c r="I16" s="259"/>
      <c r="J16" s="259">
        <f>+J11-J12-J13-J14+J15</f>
        <v>36</v>
      </c>
      <c r="K16" s="341"/>
      <c r="L16" s="259">
        <f>+L11-L12-L13-L14+L15</f>
        <v>29</v>
      </c>
      <c r="M16" s="341"/>
      <c r="N16" s="259">
        <f>+N11-N12-N13-N14+N15</f>
        <v>85</v>
      </c>
      <c r="O16" s="259"/>
      <c r="P16" s="259">
        <f>+P11-P12-P13-P14+P15</f>
        <v>59</v>
      </c>
      <c r="Q16" s="259"/>
      <c r="R16" s="259">
        <f>+R11-R12-R13-R14+R15</f>
        <v>132</v>
      </c>
      <c r="S16" s="341"/>
    </row>
    <row r="17" spans="4:19" ht="6" customHeight="1">
      <c r="D17" s="443"/>
      <c r="F17" s="443"/>
      <c r="G17" s="341"/>
      <c r="H17" s="443"/>
      <c r="I17" s="341"/>
      <c r="J17" s="341"/>
      <c r="K17" s="341"/>
      <c r="L17" s="341"/>
      <c r="M17" s="341"/>
      <c r="N17" s="341"/>
      <c r="O17" s="341"/>
      <c r="P17" s="341"/>
      <c r="Q17" s="341"/>
      <c r="R17" s="341"/>
      <c r="S17" s="341"/>
    </row>
    <row r="18" spans="3:19" ht="11.25" customHeight="1">
      <c r="C18" s="173" t="s">
        <v>166</v>
      </c>
      <c r="D18" s="53">
        <f>+'Segment  2007 Qtr'!O26</f>
        <v>-1</v>
      </c>
      <c r="E18" s="173"/>
      <c r="F18" s="53">
        <v>-4</v>
      </c>
      <c r="G18" s="173"/>
      <c r="H18" s="53">
        <v>-13</v>
      </c>
      <c r="I18" s="173"/>
      <c r="J18" s="53">
        <v>-14</v>
      </c>
      <c r="K18" s="202"/>
      <c r="L18" s="202">
        <v>-1</v>
      </c>
      <c r="M18" s="202"/>
      <c r="N18" s="53">
        <f>+F18+D18</f>
        <v>-5</v>
      </c>
      <c r="O18" s="53"/>
      <c r="P18" s="53">
        <v>-9</v>
      </c>
      <c r="Q18" s="63"/>
      <c r="R18" s="63">
        <v>-36</v>
      </c>
      <c r="S18" s="53"/>
    </row>
    <row r="19" spans="3:19" ht="11.25" customHeight="1">
      <c r="C19" s="1" t="s">
        <v>151</v>
      </c>
      <c r="D19" s="251">
        <f>+'Segment  2007 Qtr'!O23</f>
        <v>1</v>
      </c>
      <c r="E19" s="79"/>
      <c r="F19" s="251">
        <v>-2</v>
      </c>
      <c r="G19" s="79"/>
      <c r="H19" s="251">
        <v>-5</v>
      </c>
      <c r="I19" s="79"/>
      <c r="J19" s="251">
        <v>0</v>
      </c>
      <c r="K19" s="227"/>
      <c r="L19" s="251">
        <v>0</v>
      </c>
      <c r="M19" s="227"/>
      <c r="N19" s="251">
        <f>+F19+D19</f>
        <v>-1</v>
      </c>
      <c r="O19" s="251"/>
      <c r="P19" s="251">
        <v>-1</v>
      </c>
      <c r="Q19" s="251"/>
      <c r="R19" s="251">
        <v>-6</v>
      </c>
      <c r="S19" s="53"/>
    </row>
    <row r="20" spans="3:19" ht="11.25" customHeight="1">
      <c r="C20" s="172" t="s">
        <v>5</v>
      </c>
      <c r="D20" s="446">
        <f>+D16+D18-D19</f>
        <v>42</v>
      </c>
      <c r="E20" s="172"/>
      <c r="F20" s="446">
        <f>+F16+F18-F19</f>
        <v>39</v>
      </c>
      <c r="G20" s="172"/>
      <c r="H20" s="446">
        <f>+H16+H18-H19</f>
        <v>29</v>
      </c>
      <c r="I20" s="172"/>
      <c r="J20" s="446">
        <f>+J16+J18-J19</f>
        <v>22</v>
      </c>
      <c r="K20" s="356"/>
      <c r="L20" s="446">
        <f>+L16+L18-L19</f>
        <v>28</v>
      </c>
      <c r="M20" s="356"/>
      <c r="N20" s="446">
        <f>+N16+N18-N19</f>
        <v>81</v>
      </c>
      <c r="O20" s="446"/>
      <c r="P20" s="446">
        <f>+P16+P18-P19</f>
        <v>51</v>
      </c>
      <c r="Q20" s="446"/>
      <c r="R20" s="446">
        <f>+R16+R18-R19</f>
        <v>102</v>
      </c>
      <c r="S20" s="446"/>
    </row>
    <row r="21" spans="3:19" ht="6.75" customHeight="1">
      <c r="C21" s="172"/>
      <c r="D21" s="362"/>
      <c r="E21" s="172"/>
      <c r="F21" s="362"/>
      <c r="G21" s="172"/>
      <c r="H21" s="362"/>
      <c r="I21" s="172"/>
      <c r="J21" s="362"/>
      <c r="K21" s="359"/>
      <c r="L21" s="359"/>
      <c r="M21" s="359"/>
      <c r="N21" s="42"/>
      <c r="O21" s="42"/>
      <c r="P21" s="42"/>
      <c r="Q21" s="42"/>
      <c r="R21" s="42"/>
      <c r="S21" s="268"/>
    </row>
    <row r="22" spans="3:19" ht="11.25" customHeight="1">
      <c r="C22" s="173" t="s">
        <v>166</v>
      </c>
      <c r="D22" s="53">
        <f>+'Segment  2007 Qtr'!O26</f>
        <v>-1</v>
      </c>
      <c r="E22" s="173"/>
      <c r="F22" s="53">
        <v>-4</v>
      </c>
      <c r="G22" s="173"/>
      <c r="H22" s="53">
        <v>-13</v>
      </c>
      <c r="I22" s="173"/>
      <c r="J22" s="53">
        <v>-14</v>
      </c>
      <c r="K22" s="202"/>
      <c r="L22" s="202">
        <v>-1</v>
      </c>
      <c r="M22" s="202"/>
      <c r="N22" s="53">
        <f>+F22+D22</f>
        <v>-5</v>
      </c>
      <c r="O22" s="53"/>
      <c r="P22" s="53">
        <v>-9</v>
      </c>
      <c r="Q22" s="63"/>
      <c r="R22" s="63">
        <v>-36</v>
      </c>
      <c r="S22" s="53"/>
    </row>
    <row r="23" spans="3:19" ht="11.25" customHeight="1">
      <c r="C23" s="173" t="s">
        <v>247</v>
      </c>
      <c r="D23" s="251">
        <f>+'Segment  2007 Qtr'!O27</f>
        <v>0</v>
      </c>
      <c r="E23" s="173"/>
      <c r="F23" s="251">
        <v>0</v>
      </c>
      <c r="G23" s="173"/>
      <c r="H23" s="251">
        <v>0</v>
      </c>
      <c r="I23" s="173"/>
      <c r="J23" s="251">
        <v>0</v>
      </c>
      <c r="K23" s="202"/>
      <c r="L23" s="202">
        <v>0</v>
      </c>
      <c r="M23" s="202"/>
      <c r="N23" s="53">
        <f>+F23+D23</f>
        <v>0</v>
      </c>
      <c r="O23" s="53"/>
      <c r="P23" s="53">
        <v>0</v>
      </c>
      <c r="Q23" s="63"/>
      <c r="R23" s="53">
        <v>0</v>
      </c>
      <c r="S23" s="53"/>
    </row>
    <row r="24" spans="3:19" ht="15.75" customHeight="1" thickBot="1">
      <c r="C24" s="201" t="s">
        <v>509</v>
      </c>
      <c r="D24" s="447">
        <f>+D20-D22+D23</f>
        <v>43</v>
      </c>
      <c r="E24" s="459"/>
      <c r="F24" s="447">
        <f>+F20-F22+F23</f>
        <v>43</v>
      </c>
      <c r="G24" s="459"/>
      <c r="H24" s="447">
        <f>+H20-H22+H23</f>
        <v>42</v>
      </c>
      <c r="I24" s="459"/>
      <c r="J24" s="447">
        <f>+J20-J22+J23</f>
        <v>36</v>
      </c>
      <c r="K24" s="194"/>
      <c r="L24" s="447">
        <f>+L20-L22+L23</f>
        <v>29</v>
      </c>
      <c r="M24" s="194"/>
      <c r="N24" s="447">
        <f>+N20-N22+N23</f>
        <v>86</v>
      </c>
      <c r="O24" s="447"/>
      <c r="P24" s="447">
        <f>+P20-P22+P23</f>
        <v>60</v>
      </c>
      <c r="Q24" s="447"/>
      <c r="R24" s="447">
        <f>+R20-R22+R23</f>
        <v>138</v>
      </c>
      <c r="S24" s="214"/>
    </row>
    <row r="25" spans="3:19" ht="11.25" customHeight="1" thickTop="1">
      <c r="C25" s="172"/>
      <c r="D25" s="213"/>
      <c r="E25" s="172"/>
      <c r="F25" s="213"/>
      <c r="G25" s="172"/>
      <c r="H25" s="213"/>
      <c r="I25" s="214"/>
      <c r="J25" s="214"/>
      <c r="K25" s="214"/>
      <c r="L25" s="214"/>
      <c r="M25" s="214"/>
      <c r="N25" s="214"/>
      <c r="O25" s="214"/>
      <c r="P25" s="214"/>
      <c r="Q25" s="214"/>
      <c r="R25" s="214"/>
      <c r="S25" s="214"/>
    </row>
    <row r="26" spans="3:14" ht="31.5" customHeight="1">
      <c r="C26" s="630" t="s">
        <v>515</v>
      </c>
      <c r="D26" s="630"/>
      <c r="E26" s="630"/>
      <c r="F26" s="630"/>
      <c r="G26" s="630"/>
      <c r="H26" s="630"/>
      <c r="I26" s="630"/>
      <c r="J26" s="630"/>
      <c r="K26" s="630"/>
      <c r="L26" s="630"/>
      <c r="M26" s="630"/>
      <c r="N26" s="630"/>
    </row>
    <row r="27" ht="12.75">
      <c r="C27" s="463" t="s">
        <v>510</v>
      </c>
    </row>
    <row r="28" spans="3:5" ht="12.75">
      <c r="C28" s="532" t="s">
        <v>511</v>
      </c>
      <c r="D28" s="42"/>
      <c r="E28" s="42"/>
    </row>
  </sheetData>
  <mergeCells count="5">
    <mergeCell ref="C26:N26"/>
    <mergeCell ref="C1:S1"/>
    <mergeCell ref="C2:S2"/>
    <mergeCell ref="C3:S3"/>
    <mergeCell ref="C4:S4"/>
  </mergeCells>
  <hyperlinks>
    <hyperlink ref="C28" location="'Reconciliation Non-GAAP'!A1" display="'Reconciliation Non-GAAP'!A1"/>
  </hyperlinks>
  <printOptions/>
  <pageMargins left="0.5" right="0.5" top="0.5" bottom="0.55" header="0.75" footer="0.3"/>
  <pageSetup horizontalDpi="600" verticalDpi="600" orientation="landscape" r:id="rId2"/>
  <headerFooter alignWithMargins="0">
    <oddFooter>&amp;L&amp;A&amp;R&amp;"Arial,Regular"&amp;8Page 11</oddFooter>
  </headerFooter>
  <colBreaks count="1" manualBreakCount="1">
    <brk id="19" max="27" man="1"/>
  </colBreaks>
  <drawing r:id="rId1"/>
</worksheet>
</file>

<file path=xl/worksheets/sheet14.xml><?xml version="1.0" encoding="utf-8"?>
<worksheet xmlns="http://schemas.openxmlformats.org/spreadsheetml/2006/main" xmlns:r="http://schemas.openxmlformats.org/officeDocument/2006/relationships">
  <sheetPr codeName="Sheet25">
    <pageSetUpPr fitToPage="1"/>
  </sheetPr>
  <dimension ref="B1:R50"/>
  <sheetViews>
    <sheetView workbookViewId="0" topLeftCell="A1">
      <selection activeCell="A1" sqref="A1"/>
    </sheetView>
  </sheetViews>
  <sheetFormatPr defaultColWidth="9.33203125" defaultRowHeight="12.75"/>
  <cols>
    <col min="1" max="1" width="3.33203125" style="1" customWidth="1"/>
    <col min="2" max="2" width="36.16015625" style="1" customWidth="1"/>
    <col min="3" max="5" width="10.83203125" style="1" customWidth="1"/>
    <col min="6" max="6" width="2.33203125" style="1" customWidth="1"/>
    <col min="7" max="9" width="10.83203125" style="1" customWidth="1"/>
    <col min="10" max="10" width="2.33203125" style="1" customWidth="1"/>
    <col min="11" max="13" width="10.83203125" style="1" customWidth="1"/>
    <col min="14" max="14" width="1.0078125" style="1" customWidth="1"/>
    <col min="15" max="15" width="14.5" style="1" customWidth="1"/>
    <col min="16" max="16" width="10.5" style="1" customWidth="1"/>
    <col min="17" max="16384" width="9" style="1" customWidth="1"/>
  </cols>
  <sheetData>
    <row r="1" spans="2:13" ht="14.25" customHeight="1">
      <c r="B1" s="622" t="s">
        <v>89</v>
      </c>
      <c r="C1" s="622"/>
      <c r="D1" s="622"/>
      <c r="E1" s="622"/>
      <c r="F1" s="622"/>
      <c r="G1" s="622"/>
      <c r="H1" s="622"/>
      <c r="I1" s="622"/>
      <c r="J1" s="622"/>
      <c r="K1" s="622"/>
      <c r="L1" s="622"/>
      <c r="M1" s="622"/>
    </row>
    <row r="2" spans="2:13" ht="12">
      <c r="B2" s="632" t="s">
        <v>188</v>
      </c>
      <c r="C2" s="632"/>
      <c r="D2" s="632"/>
      <c r="E2" s="632"/>
      <c r="F2" s="632"/>
      <c r="G2" s="632"/>
      <c r="H2" s="632"/>
      <c r="I2" s="632"/>
      <c r="J2" s="632"/>
      <c r="K2" s="632"/>
      <c r="L2" s="632"/>
      <c r="M2" s="632"/>
    </row>
    <row r="3" spans="2:13" ht="10.5" customHeight="1">
      <c r="B3" s="626" t="s">
        <v>147</v>
      </c>
      <c r="C3" s="626"/>
      <c r="D3" s="626"/>
      <c r="E3" s="626"/>
      <c r="F3" s="626"/>
      <c r="G3" s="626"/>
      <c r="H3" s="626"/>
      <c r="I3" s="626"/>
      <c r="J3" s="626"/>
      <c r="K3" s="626"/>
      <c r="L3" s="626"/>
      <c r="M3" s="626"/>
    </row>
    <row r="4" spans="2:13" ht="14.25" customHeight="1">
      <c r="B4" s="626" t="s">
        <v>163</v>
      </c>
      <c r="C4" s="626"/>
      <c r="D4" s="626"/>
      <c r="E4" s="626"/>
      <c r="F4" s="626"/>
      <c r="G4" s="626"/>
      <c r="H4" s="626"/>
      <c r="I4" s="626"/>
      <c r="J4" s="626"/>
      <c r="K4" s="626"/>
      <c r="L4" s="626"/>
      <c r="M4" s="626"/>
    </row>
    <row r="5" ht="6" customHeight="1">
      <c r="F5"/>
    </row>
    <row r="6" spans="2:13" ht="12.75">
      <c r="B6" s="507"/>
      <c r="C6" s="79"/>
      <c r="D6" s="4" t="s">
        <v>117</v>
      </c>
      <c r="E6" s="79"/>
      <c r="F6"/>
      <c r="G6" s="79"/>
      <c r="H6" s="82" t="s">
        <v>76</v>
      </c>
      <c r="I6" s="79"/>
      <c r="J6"/>
      <c r="K6" s="79"/>
      <c r="L6" s="4" t="s">
        <v>49</v>
      </c>
      <c r="M6" s="79"/>
    </row>
    <row r="7" spans="2:13" ht="12.75">
      <c r="B7" s="83"/>
      <c r="C7" s="598" t="s">
        <v>160</v>
      </c>
      <c r="D7" s="599"/>
      <c r="E7" s="599"/>
      <c r="F7"/>
      <c r="G7" s="598" t="s">
        <v>160</v>
      </c>
      <c r="H7" s="599"/>
      <c r="I7" s="599"/>
      <c r="J7"/>
      <c r="K7" s="598" t="s">
        <v>160</v>
      </c>
      <c r="L7" s="599"/>
      <c r="M7" s="599"/>
    </row>
    <row r="8" spans="2:13" ht="12.75">
      <c r="B8" s="7"/>
      <c r="C8" s="559" t="s">
        <v>148</v>
      </c>
      <c r="D8" s="559" t="s">
        <v>48</v>
      </c>
      <c r="E8" s="559" t="s">
        <v>86</v>
      </c>
      <c r="F8"/>
      <c r="G8" s="559" t="s">
        <v>148</v>
      </c>
      <c r="H8" s="559" t="s">
        <v>48</v>
      </c>
      <c r="I8" s="559" t="s">
        <v>86</v>
      </c>
      <c r="J8"/>
      <c r="K8" s="559" t="s">
        <v>148</v>
      </c>
      <c r="L8" s="559" t="s">
        <v>48</v>
      </c>
      <c r="M8" s="559" t="s">
        <v>86</v>
      </c>
    </row>
    <row r="9" spans="2:18" ht="5.25" customHeight="1">
      <c r="B9" s="7"/>
      <c r="C9" s="122"/>
      <c r="D9" s="122"/>
      <c r="E9" s="122"/>
      <c r="F9" s="160"/>
      <c r="G9" s="122"/>
      <c r="H9" s="122"/>
      <c r="I9" s="122"/>
      <c r="J9" s="160"/>
      <c r="K9" s="5"/>
      <c r="L9" s="5"/>
      <c r="M9" s="5"/>
      <c r="P9" s="9"/>
      <c r="Q9" s="9"/>
      <c r="R9" s="9"/>
    </row>
    <row r="10" spans="2:13" ht="11.25" customHeight="1">
      <c r="B10" s="72" t="s">
        <v>299</v>
      </c>
      <c r="C10" s="34">
        <v>35055</v>
      </c>
      <c r="D10" s="34">
        <v>14597</v>
      </c>
      <c r="E10" s="34">
        <v>20458</v>
      </c>
      <c r="F10" s="258"/>
      <c r="G10" s="34">
        <v>27174</v>
      </c>
      <c r="H10" s="34">
        <v>9269</v>
      </c>
      <c r="I10" s="34">
        <v>17905</v>
      </c>
      <c r="J10" s="258"/>
      <c r="K10" s="34">
        <f>+C10-G10</f>
        <v>7881</v>
      </c>
      <c r="L10" s="34">
        <f>+D10-H10</f>
        <v>5328</v>
      </c>
      <c r="M10" s="34">
        <v>2553</v>
      </c>
    </row>
    <row r="11" spans="2:13" ht="5.25" customHeight="1">
      <c r="B11" s="72"/>
      <c r="C11" s="34"/>
      <c r="D11" s="34"/>
      <c r="E11" s="34"/>
      <c r="F11" s="408"/>
      <c r="G11" s="34"/>
      <c r="H11" s="34"/>
      <c r="I11" s="34"/>
      <c r="J11" s="408"/>
      <c r="K11" s="34"/>
      <c r="L11" s="34"/>
      <c r="M11" s="34"/>
    </row>
    <row r="12" spans="2:13" ht="11.25" customHeight="1">
      <c r="B12" s="84" t="s">
        <v>87</v>
      </c>
      <c r="C12" s="38">
        <v>2130</v>
      </c>
      <c r="D12" s="38">
        <v>450</v>
      </c>
      <c r="E12" s="38">
        <f>+C12-D12</f>
        <v>1680</v>
      </c>
      <c r="F12" s="258"/>
      <c r="G12" s="39">
        <f aca="true" t="shared" si="0" ref="G12:H14">+C12-K12</f>
        <v>2143</v>
      </c>
      <c r="H12" s="39">
        <f t="shared" si="0"/>
        <v>476</v>
      </c>
      <c r="I12" s="38">
        <f>+G12-H12</f>
        <v>1667</v>
      </c>
      <c r="J12" s="258"/>
      <c r="K12" s="39">
        <v>-13</v>
      </c>
      <c r="L12" s="39">
        <v>-26</v>
      </c>
      <c r="M12" s="39">
        <f>+K12-L12</f>
        <v>13</v>
      </c>
    </row>
    <row r="13" spans="2:13" ht="11.25" customHeight="1">
      <c r="B13" s="84" t="s">
        <v>88</v>
      </c>
      <c r="C13" s="38">
        <v>-1686</v>
      </c>
      <c r="D13" s="38">
        <v>-503</v>
      </c>
      <c r="E13" s="38">
        <f>+C13-D13</f>
        <v>-1183</v>
      </c>
      <c r="F13" s="258"/>
      <c r="G13" s="39">
        <f t="shared" si="0"/>
        <v>-1486</v>
      </c>
      <c r="H13" s="39">
        <f t="shared" si="0"/>
        <v>-353</v>
      </c>
      <c r="I13" s="38">
        <f>+G13-H13</f>
        <v>-1133</v>
      </c>
      <c r="J13" s="258"/>
      <c r="K13" s="39">
        <v>-200</v>
      </c>
      <c r="L13" s="39">
        <v>-150</v>
      </c>
      <c r="M13" s="39">
        <f>+K13-L13</f>
        <v>-50</v>
      </c>
    </row>
    <row r="14" spans="2:13" ht="12.75" customHeight="1">
      <c r="B14" s="75" t="s">
        <v>301</v>
      </c>
      <c r="C14" s="38">
        <v>9</v>
      </c>
      <c r="D14" s="38">
        <v>10</v>
      </c>
      <c r="E14" s="38">
        <f>+C14-D14</f>
        <v>-1</v>
      </c>
      <c r="F14" s="258"/>
      <c r="G14" s="39">
        <f t="shared" si="0"/>
        <v>16</v>
      </c>
      <c r="H14" s="39">
        <f t="shared" si="0"/>
        <v>10</v>
      </c>
      <c r="I14" s="38">
        <f>+G14-H14</f>
        <v>6</v>
      </c>
      <c r="J14" s="258"/>
      <c r="K14" s="39">
        <v>-7</v>
      </c>
      <c r="L14" s="39">
        <v>0</v>
      </c>
      <c r="M14" s="39">
        <f>+K14-L14</f>
        <v>-7</v>
      </c>
    </row>
    <row r="15" spans="2:13" s="14" customFormat="1" ht="11.25" customHeight="1">
      <c r="B15" s="72" t="s">
        <v>320</v>
      </c>
      <c r="C15" s="277">
        <f>SUM(C10:C14)</f>
        <v>35508</v>
      </c>
      <c r="D15" s="277">
        <f>SUM(D10:D14)</f>
        <v>14554</v>
      </c>
      <c r="E15" s="277">
        <f>SUM(E10:E14)</f>
        <v>20954</v>
      </c>
      <c r="F15" s="258"/>
      <c r="G15" s="277">
        <f>SUM(G10:G14)</f>
        <v>27847</v>
      </c>
      <c r="H15" s="277">
        <f>SUM(H10:H14)</f>
        <v>9402</v>
      </c>
      <c r="I15" s="277">
        <f>SUM(I10:I14)</f>
        <v>18445</v>
      </c>
      <c r="J15" s="258"/>
      <c r="K15" s="438">
        <f>SUM(K10:K14)</f>
        <v>7661</v>
      </c>
      <c r="L15" s="438">
        <f>SUM(L10:L14)</f>
        <v>5152</v>
      </c>
      <c r="M15" s="438">
        <f>SUM(M10:M14)</f>
        <v>2509</v>
      </c>
    </row>
    <row r="16" spans="2:13" ht="5.25" customHeight="1">
      <c r="B16" s="72"/>
      <c r="C16" s="34"/>
      <c r="D16" s="34"/>
      <c r="E16" s="34"/>
      <c r="F16" s="408"/>
      <c r="G16" s="34"/>
      <c r="H16" s="34"/>
      <c r="I16" s="34"/>
      <c r="J16" s="408"/>
      <c r="K16" s="34"/>
      <c r="L16" s="34"/>
      <c r="M16" s="34"/>
    </row>
    <row r="17" spans="2:13" ht="12.75">
      <c r="B17" s="84" t="s">
        <v>87</v>
      </c>
      <c r="C17" s="38">
        <v>2378</v>
      </c>
      <c r="D17" s="38">
        <v>630</v>
      </c>
      <c r="E17" s="38">
        <f>+C17-D17</f>
        <v>1748</v>
      </c>
      <c r="F17" s="258"/>
      <c r="G17" s="39">
        <f aca="true" t="shared" si="1" ref="G17:H19">+C17-K17</f>
        <v>2349</v>
      </c>
      <c r="H17" s="39">
        <f t="shared" si="1"/>
        <v>618</v>
      </c>
      <c r="I17" s="38">
        <f>+G17-H17</f>
        <v>1731</v>
      </c>
      <c r="J17" s="258"/>
      <c r="K17" s="39">
        <v>29</v>
      </c>
      <c r="L17" s="39">
        <v>12</v>
      </c>
      <c r="M17" s="39">
        <f>+K17-L17</f>
        <v>17</v>
      </c>
    </row>
    <row r="18" spans="2:13" ht="12.75">
      <c r="B18" s="84" t="s">
        <v>88</v>
      </c>
      <c r="C18" s="38">
        <v>-2536</v>
      </c>
      <c r="D18" s="38">
        <v>-1082</v>
      </c>
      <c r="E18" s="38">
        <f>+C18-D18</f>
        <v>-1454</v>
      </c>
      <c r="F18" s="258"/>
      <c r="G18" s="39">
        <f t="shared" si="1"/>
        <v>-2344</v>
      </c>
      <c r="H18" s="39">
        <f t="shared" si="1"/>
        <v>-938</v>
      </c>
      <c r="I18" s="38">
        <f>+G18-H18</f>
        <v>-1406</v>
      </c>
      <c r="J18" s="258"/>
      <c r="K18" s="39">
        <v>-192</v>
      </c>
      <c r="L18" s="39">
        <v>-144</v>
      </c>
      <c r="M18" s="39">
        <f>+K18-L18</f>
        <v>-48</v>
      </c>
    </row>
    <row r="19" spans="2:13" ht="12.75" customHeight="1">
      <c r="B19" s="75" t="s">
        <v>301</v>
      </c>
      <c r="C19" s="38">
        <v>214</v>
      </c>
      <c r="D19" s="38">
        <v>69</v>
      </c>
      <c r="E19" s="38">
        <f>+C19-D19</f>
        <v>145</v>
      </c>
      <c r="F19" s="258"/>
      <c r="G19" s="39">
        <f t="shared" si="1"/>
        <v>212</v>
      </c>
      <c r="H19" s="39">
        <f t="shared" si="1"/>
        <v>69</v>
      </c>
      <c r="I19" s="38">
        <f>+G19-H19</f>
        <v>143</v>
      </c>
      <c r="J19" s="258"/>
      <c r="K19" s="39">
        <v>2</v>
      </c>
      <c r="L19" s="39">
        <v>0</v>
      </c>
      <c r="M19" s="39">
        <f>+K19-L19</f>
        <v>2</v>
      </c>
    </row>
    <row r="20" spans="2:13" s="14" customFormat="1" ht="11.25" customHeight="1">
      <c r="B20" s="72" t="s">
        <v>351</v>
      </c>
      <c r="C20" s="277">
        <f>SUM(C15:C19)</f>
        <v>35564</v>
      </c>
      <c r="D20" s="277">
        <f>SUM(D15:D19)</f>
        <v>14171</v>
      </c>
      <c r="E20" s="277">
        <f>SUM(E15:E19)</f>
        <v>21393</v>
      </c>
      <c r="F20" s="258"/>
      <c r="G20" s="277">
        <f>SUM(G15:G19)</f>
        <v>28064</v>
      </c>
      <c r="H20" s="277">
        <f>SUM(H15:H19)</f>
        <v>9151</v>
      </c>
      <c r="I20" s="277">
        <f>SUM(I15:I19)</f>
        <v>18913</v>
      </c>
      <c r="J20" s="258"/>
      <c r="K20" s="438">
        <f>SUM(K15:K19)</f>
        <v>7500</v>
      </c>
      <c r="L20" s="438">
        <f>SUM(L15:L19)</f>
        <v>5020</v>
      </c>
      <c r="M20" s="438">
        <f>SUM(M15:M19)</f>
        <v>2480</v>
      </c>
    </row>
    <row r="21" spans="2:13" ht="5.25" customHeight="1">
      <c r="B21" s="72"/>
      <c r="C21" s="34"/>
      <c r="D21" s="34"/>
      <c r="E21" s="34"/>
      <c r="F21" s="408"/>
      <c r="G21" s="34"/>
      <c r="H21" s="34"/>
      <c r="I21" s="34"/>
      <c r="J21" s="408"/>
      <c r="K21" s="34"/>
      <c r="L21" s="34"/>
      <c r="M21" s="34"/>
    </row>
    <row r="22" spans="2:13" ht="12.75">
      <c r="B22" s="84" t="s">
        <v>87</v>
      </c>
      <c r="C22" s="38">
        <v>2582</v>
      </c>
      <c r="D22" s="38">
        <v>764</v>
      </c>
      <c r="E22" s="38">
        <f>+C22-D22</f>
        <v>1818</v>
      </c>
      <c r="F22" s="408"/>
      <c r="G22" s="39">
        <f aca="true" t="shared" si="2" ref="G22:H25">+C22-K22</f>
        <v>2588</v>
      </c>
      <c r="H22" s="39">
        <f t="shared" si="2"/>
        <v>797</v>
      </c>
      <c r="I22" s="38">
        <f>+G22-H22</f>
        <v>1791</v>
      </c>
      <c r="J22" s="408"/>
      <c r="K22" s="39">
        <v>-6</v>
      </c>
      <c r="L22" s="39">
        <v>-33</v>
      </c>
      <c r="M22" s="38">
        <f>+K22-L22</f>
        <v>27</v>
      </c>
    </row>
    <row r="23" spans="2:13" ht="12.75">
      <c r="B23" s="84" t="s">
        <v>88</v>
      </c>
      <c r="C23" s="38">
        <v>-2395</v>
      </c>
      <c r="D23" s="38">
        <v>-975</v>
      </c>
      <c r="E23" s="38">
        <f>+C23-D23</f>
        <v>-1420</v>
      </c>
      <c r="F23" s="408"/>
      <c r="G23" s="39">
        <f t="shared" si="2"/>
        <v>-2223</v>
      </c>
      <c r="H23" s="39">
        <f t="shared" si="2"/>
        <v>-893</v>
      </c>
      <c r="I23" s="38">
        <f>+G23-H23</f>
        <v>-1330</v>
      </c>
      <c r="J23" s="408"/>
      <c r="K23" s="39">
        <v>-172</v>
      </c>
      <c r="L23" s="39">
        <v>-82</v>
      </c>
      <c r="M23" s="38">
        <f>+K23-L23</f>
        <v>-90</v>
      </c>
    </row>
    <row r="24" spans="2:13" ht="12.75">
      <c r="B24" s="75" t="s">
        <v>390</v>
      </c>
      <c r="C24" s="38">
        <f>-808+19</f>
        <v>-789</v>
      </c>
      <c r="D24" s="38">
        <f>-320+3</f>
        <v>-317</v>
      </c>
      <c r="E24" s="38">
        <f>+C24-D24</f>
        <v>-472</v>
      </c>
      <c r="F24" s="408"/>
      <c r="G24" s="39">
        <f t="shared" si="2"/>
        <v>0</v>
      </c>
      <c r="H24" s="39">
        <f t="shared" si="2"/>
        <v>0</v>
      </c>
      <c r="I24" s="38">
        <f>+G24-H24</f>
        <v>0</v>
      </c>
      <c r="J24" s="408"/>
      <c r="K24" s="39">
        <f>-808+19</f>
        <v>-789</v>
      </c>
      <c r="L24" s="39">
        <f>-320+3</f>
        <v>-317</v>
      </c>
      <c r="M24" s="38">
        <f>+K24-L24</f>
        <v>-472</v>
      </c>
    </row>
    <row r="25" spans="2:13" s="14" customFormat="1" ht="11.25" customHeight="1">
      <c r="B25" s="75" t="s">
        <v>301</v>
      </c>
      <c r="C25" s="38">
        <f>206-19</f>
        <v>187</v>
      </c>
      <c r="D25" s="38">
        <f>69-3</f>
        <v>66</v>
      </c>
      <c r="E25" s="38">
        <f>+C25-D25</f>
        <v>121</v>
      </c>
      <c r="F25" s="408"/>
      <c r="G25" s="39">
        <f t="shared" si="2"/>
        <v>199</v>
      </c>
      <c r="H25" s="39">
        <f t="shared" si="2"/>
        <v>69</v>
      </c>
      <c r="I25" s="38">
        <f>+G25-H25</f>
        <v>130</v>
      </c>
      <c r="J25" s="408"/>
      <c r="K25" s="39">
        <f>7-19</f>
        <v>-12</v>
      </c>
      <c r="L25" s="39">
        <v>-3</v>
      </c>
      <c r="M25" s="38">
        <f>+K25-L25</f>
        <v>-9</v>
      </c>
    </row>
    <row r="26" spans="2:13" ht="11.25" customHeight="1">
      <c r="B26" s="72" t="s">
        <v>355</v>
      </c>
      <c r="C26" s="277">
        <f>SUM(C20:C25)</f>
        <v>35149</v>
      </c>
      <c r="D26" s="277">
        <f>SUM(D20:D25)</f>
        <v>13709</v>
      </c>
      <c r="E26" s="277">
        <f>SUM(E20:E25)</f>
        <v>21440</v>
      </c>
      <c r="F26" s="258"/>
      <c r="G26" s="277">
        <f>SUM(G20:G25)</f>
        <v>28628</v>
      </c>
      <c r="H26" s="277">
        <f>SUM(H20:H25)</f>
        <v>9124</v>
      </c>
      <c r="I26" s="277">
        <f>SUM(I20:I25)</f>
        <v>19504</v>
      </c>
      <c r="J26" s="258"/>
      <c r="K26" s="438">
        <f>SUM(K20:K25)</f>
        <v>6521</v>
      </c>
      <c r="L26" s="438">
        <f>SUM(L20:L25)</f>
        <v>4585</v>
      </c>
      <c r="M26" s="438">
        <f>SUM(M20:M25)</f>
        <v>1936</v>
      </c>
    </row>
    <row r="27" spans="2:13" ht="5.25" customHeight="1">
      <c r="B27" s="72"/>
      <c r="C27" s="34"/>
      <c r="D27" s="34"/>
      <c r="E27" s="34"/>
      <c r="F27" s="408"/>
      <c r="G27" s="34"/>
      <c r="H27" s="34"/>
      <c r="I27" s="34"/>
      <c r="J27" s="408"/>
      <c r="K27" s="34"/>
      <c r="L27" s="34"/>
      <c r="M27" s="34"/>
    </row>
    <row r="28" spans="2:13" ht="12.75">
      <c r="B28" s="84" t="s">
        <v>87</v>
      </c>
      <c r="C28" s="38">
        <f>2812-32</f>
        <v>2780</v>
      </c>
      <c r="D28" s="38">
        <f>988-32</f>
        <v>956</v>
      </c>
      <c r="E28" s="38">
        <f>+C28-D28</f>
        <v>1824</v>
      </c>
      <c r="F28" s="408"/>
      <c r="G28" s="39">
        <f aca="true" t="shared" si="3" ref="G28:H30">+C28-K28</f>
        <v>2477</v>
      </c>
      <c r="H28" s="39">
        <f t="shared" si="3"/>
        <v>710</v>
      </c>
      <c r="I28" s="38">
        <f>+G28-H28</f>
        <v>1767</v>
      </c>
      <c r="J28" s="408"/>
      <c r="K28" s="39">
        <f>221-21+103</f>
        <v>303</v>
      </c>
      <c r="L28" s="39">
        <f>77+169</f>
        <v>246</v>
      </c>
      <c r="M28" s="38">
        <f>+K28-L28</f>
        <v>57</v>
      </c>
    </row>
    <row r="29" spans="2:13" ht="12.75">
      <c r="B29" s="84" t="s">
        <v>88</v>
      </c>
      <c r="C29" s="38">
        <v>-2613</v>
      </c>
      <c r="D29" s="38">
        <v>-1211</v>
      </c>
      <c r="E29" s="38">
        <f>+C29-D29</f>
        <v>-1402</v>
      </c>
      <c r="F29" s="408"/>
      <c r="G29" s="39">
        <f t="shared" si="3"/>
        <v>-2405</v>
      </c>
      <c r="H29" s="39">
        <f t="shared" si="3"/>
        <v>-1078</v>
      </c>
      <c r="I29" s="38">
        <f>+G29-H29</f>
        <v>-1327</v>
      </c>
      <c r="J29" s="408"/>
      <c r="K29" s="39">
        <v>-208</v>
      </c>
      <c r="L29" s="39">
        <v>-133</v>
      </c>
      <c r="M29" s="38">
        <f>+K29-L29</f>
        <v>-75</v>
      </c>
    </row>
    <row r="30" spans="2:13" s="14" customFormat="1" ht="11.25" customHeight="1">
      <c r="B30" s="75" t="s">
        <v>301</v>
      </c>
      <c r="C30" s="38">
        <f>169+32</f>
        <v>201</v>
      </c>
      <c r="D30" s="38">
        <f>23+32</f>
        <v>55</v>
      </c>
      <c r="E30" s="38">
        <f>+C30-D30</f>
        <v>146</v>
      </c>
      <c r="F30" s="408"/>
      <c r="G30" s="39">
        <f t="shared" si="3"/>
        <v>289</v>
      </c>
      <c r="H30" s="39">
        <f t="shared" si="3"/>
        <v>221</v>
      </c>
      <c r="I30" s="38">
        <f>+G30-H30</f>
        <v>68</v>
      </c>
      <c r="J30" s="408"/>
      <c r="K30" s="39">
        <f>15-103</f>
        <v>-88</v>
      </c>
      <c r="L30" s="39">
        <f>3-169</f>
        <v>-166</v>
      </c>
      <c r="M30" s="38">
        <f>+K30-L30</f>
        <v>78</v>
      </c>
    </row>
    <row r="31" spans="2:13" ht="11.25" customHeight="1">
      <c r="B31" s="72" t="s">
        <v>362</v>
      </c>
      <c r="C31" s="277">
        <f>SUM(C26:C30)</f>
        <v>35517</v>
      </c>
      <c r="D31" s="277">
        <f>SUM(D26:D30)</f>
        <v>13509</v>
      </c>
      <c r="E31" s="277">
        <f>SUM(E26:E30)</f>
        <v>22008</v>
      </c>
      <c r="F31" s="258"/>
      <c r="G31" s="277">
        <f>SUM(G26:G30)</f>
        <v>28989</v>
      </c>
      <c r="H31" s="277">
        <f>SUM(H26:H30)</f>
        <v>8977</v>
      </c>
      <c r="I31" s="277">
        <f>SUM(I26:I30)</f>
        <v>20012</v>
      </c>
      <c r="J31" s="258"/>
      <c r="K31" s="438">
        <f>SUM(K26:K30)</f>
        <v>6528</v>
      </c>
      <c r="L31" s="438">
        <f>SUM(L26:L30)</f>
        <v>4532</v>
      </c>
      <c r="M31" s="438">
        <f>SUM(M26:M30)</f>
        <v>1996</v>
      </c>
    </row>
    <row r="32" spans="2:13" ht="5.25" customHeight="1">
      <c r="B32" s="72"/>
      <c r="C32" s="34"/>
      <c r="D32" s="34"/>
      <c r="E32" s="34"/>
      <c r="F32" s="408"/>
      <c r="G32" s="34"/>
      <c r="H32" s="34"/>
      <c r="I32" s="34"/>
      <c r="J32" s="408"/>
      <c r="K32" s="34"/>
      <c r="L32" s="34"/>
      <c r="M32" s="34"/>
    </row>
    <row r="33" spans="2:13" ht="12.75">
      <c r="B33" s="84" t="s">
        <v>87</v>
      </c>
      <c r="C33" s="38">
        <v>2703</v>
      </c>
      <c r="D33" s="38">
        <v>843</v>
      </c>
      <c r="E33" s="38">
        <f>+C33-D33</f>
        <v>1860</v>
      </c>
      <c r="F33" s="258"/>
      <c r="G33" s="39">
        <f aca="true" t="shared" si="4" ref="G33:H35">+C33-K33</f>
        <v>2690</v>
      </c>
      <c r="H33" s="39">
        <f t="shared" si="4"/>
        <v>832</v>
      </c>
      <c r="I33" s="38">
        <f>+G33-H33</f>
        <v>1858</v>
      </c>
      <c r="J33" s="258"/>
      <c r="K33" s="39">
        <v>13</v>
      </c>
      <c r="L33" s="39">
        <v>11</v>
      </c>
      <c r="M33" s="39">
        <f>+K33-L33</f>
        <v>2</v>
      </c>
    </row>
    <row r="34" spans="2:13" ht="12.75">
      <c r="B34" s="84" t="s">
        <v>88</v>
      </c>
      <c r="C34" s="38">
        <v>-2363</v>
      </c>
      <c r="D34" s="38">
        <v>-943</v>
      </c>
      <c r="E34" s="38">
        <f>+C34-D34</f>
        <v>-1420</v>
      </c>
      <c r="F34" s="258"/>
      <c r="G34" s="39">
        <f t="shared" si="4"/>
        <v>-2206</v>
      </c>
      <c r="H34" s="39">
        <f t="shared" si="4"/>
        <v>-797</v>
      </c>
      <c r="I34" s="38">
        <f>+G34-H34</f>
        <v>-1409</v>
      </c>
      <c r="J34" s="258"/>
      <c r="K34" s="39">
        <v>-157</v>
      </c>
      <c r="L34" s="39">
        <v>-146</v>
      </c>
      <c r="M34" s="39">
        <f>+K34-L34</f>
        <v>-11</v>
      </c>
    </row>
    <row r="35" spans="2:13" ht="12.75">
      <c r="B35" s="75" t="s">
        <v>301</v>
      </c>
      <c r="C35" s="38">
        <f>-87+43</f>
        <v>-44</v>
      </c>
      <c r="D35" s="38">
        <f>12-8</f>
        <v>4</v>
      </c>
      <c r="E35" s="38">
        <f>+C35-D35</f>
        <v>-48</v>
      </c>
      <c r="F35" s="258"/>
      <c r="G35" s="39">
        <f t="shared" si="4"/>
        <v>-44</v>
      </c>
      <c r="H35" s="39">
        <f t="shared" si="4"/>
        <v>4</v>
      </c>
      <c r="I35" s="38">
        <f>+G35-H35</f>
        <v>-48</v>
      </c>
      <c r="J35" s="258"/>
      <c r="K35" s="39">
        <v>0</v>
      </c>
      <c r="L35" s="39">
        <v>0</v>
      </c>
      <c r="M35" s="39">
        <f>+K35-L35</f>
        <v>0</v>
      </c>
    </row>
    <row r="36" spans="2:13" ht="11.25" customHeight="1">
      <c r="B36" s="72" t="s">
        <v>376</v>
      </c>
      <c r="C36" s="277">
        <f>SUM(C31:C35)</f>
        <v>35813</v>
      </c>
      <c r="D36" s="277">
        <f>SUM(D31:D35)</f>
        <v>13413</v>
      </c>
      <c r="E36" s="277">
        <f>SUM(E31:E35)</f>
        <v>22400</v>
      </c>
      <c r="F36" s="258"/>
      <c r="G36" s="277">
        <f>SUM(G31:G35)</f>
        <v>29429</v>
      </c>
      <c r="H36" s="277">
        <f>SUM(H31:H35)</f>
        <v>9016</v>
      </c>
      <c r="I36" s="277">
        <f>SUM(I31:I35)</f>
        <v>20413</v>
      </c>
      <c r="J36" s="258"/>
      <c r="K36" s="438">
        <f>SUM(K31:K35)</f>
        <v>6384</v>
      </c>
      <c r="L36" s="438">
        <f>SUM(L31:L35)</f>
        <v>4397</v>
      </c>
      <c r="M36" s="438">
        <f>SUM(M31:M35)</f>
        <v>1987</v>
      </c>
    </row>
    <row r="37" spans="2:13" ht="5.25" customHeight="1">
      <c r="B37" s="72"/>
      <c r="C37" s="34"/>
      <c r="D37" s="34"/>
      <c r="E37" s="34"/>
      <c r="F37" s="408"/>
      <c r="G37" s="34"/>
      <c r="H37" s="34"/>
      <c r="I37" s="34"/>
      <c r="J37" s="408"/>
      <c r="K37" s="34"/>
      <c r="L37" s="34"/>
      <c r="M37" s="34"/>
    </row>
    <row r="38" spans="2:13" ht="12.75">
      <c r="B38" s="84" t="s">
        <v>87</v>
      </c>
      <c r="C38" s="38">
        <f>2686-406</f>
        <v>2280</v>
      </c>
      <c r="D38" s="38">
        <f>893-406</f>
        <v>487</v>
      </c>
      <c r="E38" s="38">
        <f>+C38-D38</f>
        <v>1793</v>
      </c>
      <c r="F38" s="258"/>
      <c r="G38" s="39">
        <f aca="true" t="shared" si="5" ref="G38:H40">+C38-K38</f>
        <v>2249</v>
      </c>
      <c r="H38" s="39">
        <f t="shared" si="5"/>
        <v>473</v>
      </c>
      <c r="I38" s="38">
        <f>+G38-H38</f>
        <v>1776</v>
      </c>
      <c r="J38" s="258"/>
      <c r="K38" s="39">
        <v>31</v>
      </c>
      <c r="L38" s="39">
        <v>14</v>
      </c>
      <c r="M38" s="39">
        <f>+K38-L38</f>
        <v>17</v>
      </c>
    </row>
    <row r="39" spans="2:13" ht="12.75">
      <c r="B39" s="84" t="s">
        <v>88</v>
      </c>
      <c r="C39" s="38">
        <v>-2111</v>
      </c>
      <c r="D39" s="38">
        <v>-758</v>
      </c>
      <c r="E39" s="38">
        <f>+C39-D39</f>
        <v>-1353</v>
      </c>
      <c r="F39" s="258"/>
      <c r="G39" s="39">
        <f t="shared" si="5"/>
        <v>-1977</v>
      </c>
      <c r="H39" s="39">
        <f t="shared" si="5"/>
        <v>-637</v>
      </c>
      <c r="I39" s="38">
        <f>+G39-H39</f>
        <v>-1340</v>
      </c>
      <c r="J39" s="258"/>
      <c r="K39" s="39">
        <v>-134</v>
      </c>
      <c r="L39" s="39">
        <v>-121</v>
      </c>
      <c r="M39" s="39">
        <f>+K39-L39</f>
        <v>-13</v>
      </c>
    </row>
    <row r="40" spans="2:13" ht="12.75">
      <c r="B40" s="75" t="s">
        <v>301</v>
      </c>
      <c r="C40" s="38">
        <v>141</v>
      </c>
      <c r="D40" s="38">
        <v>34</v>
      </c>
      <c r="E40" s="38">
        <f>+C40-D40</f>
        <v>107</v>
      </c>
      <c r="F40" s="258"/>
      <c r="G40" s="39">
        <f t="shared" si="5"/>
        <v>140</v>
      </c>
      <c r="H40" s="39">
        <f t="shared" si="5"/>
        <v>34</v>
      </c>
      <c r="I40" s="38">
        <f>+G40-H40</f>
        <v>106</v>
      </c>
      <c r="J40" s="258"/>
      <c r="K40" s="39">
        <v>1</v>
      </c>
      <c r="L40" s="39">
        <v>0</v>
      </c>
      <c r="M40" s="39">
        <f>+K40-L40</f>
        <v>1</v>
      </c>
    </row>
    <row r="41" spans="2:13" s="14" customFormat="1" ht="11.25" customHeight="1" thickBot="1">
      <c r="B41" s="72" t="s">
        <v>429</v>
      </c>
      <c r="C41" s="572">
        <f>+SUM(C36:C40)</f>
        <v>36123</v>
      </c>
      <c r="D41" s="572">
        <f>+SUM(D36:D40)</f>
        <v>13176</v>
      </c>
      <c r="E41" s="572">
        <f>+SUM(E36:E40)</f>
        <v>22947</v>
      </c>
      <c r="F41" s="408"/>
      <c r="G41" s="572">
        <f>+SUM(G36:G40)</f>
        <v>29841</v>
      </c>
      <c r="H41" s="572">
        <f>+SUM(H36:H40)</f>
        <v>8886</v>
      </c>
      <c r="I41" s="572">
        <f>+SUM(I36:I40)</f>
        <v>20955</v>
      </c>
      <c r="J41" s="408"/>
      <c r="K41" s="572">
        <f>+SUM(K36:K40)</f>
        <v>6282</v>
      </c>
      <c r="L41" s="572">
        <f>+SUM(L36:L40)</f>
        <v>4290</v>
      </c>
      <c r="M41" s="572">
        <f>+SUM(M36:M40)</f>
        <v>1992</v>
      </c>
    </row>
    <row r="42" spans="2:13" ht="5.25" customHeight="1" thickTop="1">
      <c r="B42" s="72"/>
      <c r="C42" s="34"/>
      <c r="D42" s="34"/>
      <c r="E42" s="34"/>
      <c r="F42" s="408"/>
      <c r="G42" s="34"/>
      <c r="H42" s="34"/>
      <c r="I42" s="34"/>
      <c r="J42" s="408"/>
      <c r="K42" s="34"/>
      <c r="L42" s="34"/>
      <c r="M42" s="34"/>
    </row>
    <row r="43" spans="2:13" ht="11.25">
      <c r="B43" s="631" t="s">
        <v>391</v>
      </c>
      <c r="C43" s="631"/>
      <c r="D43" s="631"/>
      <c r="E43" s="631"/>
      <c r="F43" s="631"/>
      <c r="G43" s="631"/>
      <c r="H43" s="631"/>
      <c r="I43" s="631"/>
      <c r="J43" s="631"/>
      <c r="K43" s="631"/>
      <c r="L43" s="631"/>
      <c r="M43" s="631"/>
    </row>
    <row r="44" spans="2:13" ht="18.75" customHeight="1">
      <c r="B44" s="631" t="s">
        <v>409</v>
      </c>
      <c r="C44" s="631"/>
      <c r="D44" s="631"/>
      <c r="E44" s="631"/>
      <c r="F44" s="631"/>
      <c r="G44" s="631"/>
      <c r="H44" s="631"/>
      <c r="I44" s="631"/>
      <c r="J44" s="631"/>
      <c r="K44" s="631"/>
      <c r="L44" s="631"/>
      <c r="M44" s="631"/>
    </row>
    <row r="45" spans="3:5" ht="11.25">
      <c r="C45" s="9"/>
      <c r="D45" s="9"/>
      <c r="E45" s="9"/>
    </row>
    <row r="46" spans="3:5" ht="11.25">
      <c r="C46" s="9"/>
      <c r="D46" s="9"/>
      <c r="E46" s="9"/>
    </row>
    <row r="47" spans="3:5" ht="11.25">
      <c r="C47" s="9"/>
      <c r="D47" s="9"/>
      <c r="E47" s="9"/>
    </row>
    <row r="48" spans="3:5" ht="11.25">
      <c r="C48" s="9"/>
      <c r="D48" s="9"/>
      <c r="E48" s="9"/>
    </row>
    <row r="49" spans="3:5" ht="11.25">
      <c r="C49" s="9"/>
      <c r="D49" s="9"/>
      <c r="E49" s="9"/>
    </row>
    <row r="50" spans="3:5" ht="11.25">
      <c r="C50" s="9"/>
      <c r="D50" s="9"/>
      <c r="E50" s="9"/>
    </row>
  </sheetData>
  <mergeCells count="9">
    <mergeCell ref="B44:M44"/>
    <mergeCell ref="B43:M43"/>
    <mergeCell ref="B1:M1"/>
    <mergeCell ref="B2:M2"/>
    <mergeCell ref="B3:M3"/>
    <mergeCell ref="B4:M4"/>
    <mergeCell ref="C7:E7"/>
    <mergeCell ref="G7:I7"/>
    <mergeCell ref="K7:M7"/>
  </mergeCells>
  <hyperlinks>
    <hyperlink ref="C36" location="'Consol Bal Sheet'!E29" display="'Consol Bal Sheet'!E29"/>
    <hyperlink ref="C15" location="'Consol Bal Sheet'!E29" display="'Consol Bal Sheet'!E29"/>
    <hyperlink ref="C20" location="'Consol Bal Sheet'!E29" display="'Consol Bal Sheet'!E29"/>
    <hyperlink ref="C26" location="'Consol Bal Sheet'!E29" display="'Consol Bal Sheet'!E29"/>
    <hyperlink ref="C31" location="'Consol Bal Sheet'!E29" display="'Consol Bal Sheet'!E29"/>
    <hyperlink ref="D36" location="'Consol Bal Sheet'!E29" display="'Consol Bal Sheet'!E29"/>
    <hyperlink ref="E36" location="'Consol Bal Sheet'!E29" display="'Consol Bal Sheet'!E29"/>
    <hyperlink ref="G36" location="'Consol Bal Sheet'!E29" display="'Consol Bal Sheet'!E29"/>
    <hyperlink ref="H36" location="'Consol Bal Sheet'!E29" display="'Consol Bal Sheet'!E29"/>
    <hyperlink ref="I36" location="'Consol Bal Sheet'!E29" display="'Consol Bal Sheet'!E29"/>
    <hyperlink ref="K36" location="'Consol Bal Sheet'!E29" display="'Consol Bal Sheet'!E29"/>
    <hyperlink ref="L36" location="'Consol Bal Sheet'!E29" display="'Consol Bal Sheet'!E29"/>
    <hyperlink ref="M36" location="'Consol Bal Sheet'!E29" display="'Consol Bal Sheet'!E29"/>
    <hyperlink ref="C41" location="'Consol Bal Sheet'!E29" display="'Consol Bal Sheet'!E29"/>
    <hyperlink ref="D41" location="'Consol Bal Sheet'!E29" display="'Consol Bal Sheet'!E29"/>
    <hyperlink ref="E41" location="'Consol Bal Sheet'!E29" display="'Consol Bal Sheet'!E29"/>
    <hyperlink ref="G41" location="'Consol Bal Sheet'!E29" display="'Consol Bal Sheet'!E29"/>
    <hyperlink ref="H41" location="'Consol Bal Sheet'!E29" display="'Consol Bal Sheet'!E29"/>
    <hyperlink ref="I41" location="'Consol Bal Sheet'!E29" display="'Consol Bal Sheet'!E29"/>
    <hyperlink ref="K41" location="'Consol Bal Sheet'!E29" display="'Consol Bal Sheet'!E29"/>
    <hyperlink ref="L41" location="'Consol Bal Sheet'!E29" display="'Consol Bal Sheet'!E29"/>
    <hyperlink ref="M41" location="'Consol Bal Sheet'!E29" display="'Consol Bal Sheet'!E29"/>
  </hyperlinks>
  <printOptions/>
  <pageMargins left="0.5" right="0.5" top="0.5" bottom="0.55" header="0.75" footer="0.3"/>
  <pageSetup fitToHeight="1" fitToWidth="1" horizontalDpi="600" verticalDpi="600" orientation="landscape" scale="98" r:id="rId2"/>
  <headerFooter alignWithMargins="0">
    <oddFooter>&amp;L&amp;A&amp;R&amp;"Arial,Regular"&amp;8Page 12</oddFooter>
  </headerFooter>
  <drawing r:id="rId1"/>
</worksheet>
</file>

<file path=xl/worksheets/sheet15.xml><?xml version="1.0" encoding="utf-8"?>
<worksheet xmlns="http://schemas.openxmlformats.org/spreadsheetml/2006/main" xmlns:r="http://schemas.openxmlformats.org/officeDocument/2006/relationships">
  <sheetPr codeName="Sheet51"/>
  <dimension ref="A1:BK76"/>
  <sheetViews>
    <sheetView workbookViewId="0" topLeftCell="A1">
      <selection activeCell="A1" sqref="A1:M1"/>
    </sheetView>
  </sheetViews>
  <sheetFormatPr defaultColWidth="9.33203125" defaultRowHeight="12.75"/>
  <cols>
    <col min="1" max="2" width="3.33203125" style="68" customWidth="1"/>
    <col min="3" max="3" width="38.16015625" style="68" customWidth="1"/>
    <col min="4" max="4" width="2.83203125" style="68" customWidth="1"/>
    <col min="5" max="5" width="14.83203125" style="68" customWidth="1"/>
    <col min="6" max="6" width="2.83203125" style="68" customWidth="1"/>
    <col min="7" max="7" width="14.66015625" style="68" customWidth="1"/>
    <col min="8" max="8" width="2.83203125" style="68" customWidth="1"/>
    <col min="9" max="9" width="14.83203125" style="68" customWidth="1"/>
    <col min="10" max="11" width="2.83203125" style="68" customWidth="1"/>
    <col min="12" max="12" width="14.83203125" style="68" customWidth="1"/>
    <col min="13" max="13" width="2.83203125" style="68" customWidth="1"/>
    <col min="14" max="14" width="14.83203125" style="68" customWidth="1"/>
    <col min="15" max="15" width="2.83203125" style="68" customWidth="1"/>
    <col min="16" max="16" width="14.33203125" style="0" customWidth="1"/>
    <col min="17" max="16384" width="10.66015625" style="68" customWidth="1"/>
  </cols>
  <sheetData>
    <row r="1" spans="1:15" ht="14.25" customHeight="1">
      <c r="A1" s="600" t="s">
        <v>89</v>
      </c>
      <c r="B1" s="600"/>
      <c r="C1" s="600"/>
      <c r="D1" s="600"/>
      <c r="E1" s="600"/>
      <c r="F1" s="600"/>
      <c r="G1" s="600"/>
      <c r="H1" s="600"/>
      <c r="I1" s="600"/>
      <c r="J1" s="600"/>
      <c r="K1" s="600"/>
      <c r="L1" s="600"/>
      <c r="M1" s="600"/>
      <c r="N1" s="348"/>
      <c r="O1" s="348"/>
    </row>
    <row r="2" spans="1:15" ht="11.25" customHeight="1">
      <c r="A2" s="601" t="s">
        <v>189</v>
      </c>
      <c r="B2" s="601"/>
      <c r="C2" s="601"/>
      <c r="D2" s="601"/>
      <c r="E2" s="601"/>
      <c r="F2" s="601"/>
      <c r="G2" s="601"/>
      <c r="H2" s="601"/>
      <c r="I2" s="601"/>
      <c r="J2" s="601"/>
      <c r="K2" s="601"/>
      <c r="L2" s="601"/>
      <c r="M2" s="601"/>
      <c r="N2" s="523"/>
      <c r="O2" s="523"/>
    </row>
    <row r="3" spans="1:15" ht="11.25" customHeight="1">
      <c r="A3" s="602" t="s">
        <v>147</v>
      </c>
      <c r="B3" s="602"/>
      <c r="C3" s="602"/>
      <c r="D3" s="602"/>
      <c r="E3" s="602"/>
      <c r="F3" s="602"/>
      <c r="G3" s="602"/>
      <c r="H3" s="602"/>
      <c r="I3" s="602"/>
      <c r="J3" s="602"/>
      <c r="K3" s="602"/>
      <c r="L3" s="602"/>
      <c r="M3" s="602"/>
      <c r="N3" s="351"/>
      <c r="O3" s="351"/>
    </row>
    <row r="4" spans="1:15" ht="11.25" customHeight="1">
      <c r="A4" s="602" t="s">
        <v>163</v>
      </c>
      <c r="B4" s="602"/>
      <c r="C4" s="602"/>
      <c r="D4" s="602"/>
      <c r="E4" s="602"/>
      <c r="F4" s="602"/>
      <c r="G4" s="602"/>
      <c r="H4" s="602"/>
      <c r="I4" s="602"/>
      <c r="J4" s="602"/>
      <c r="K4" s="602"/>
      <c r="L4" s="602"/>
      <c r="M4" s="602"/>
      <c r="N4" s="351"/>
      <c r="O4" s="351"/>
    </row>
    <row r="5" spans="3:15" ht="14.25" customHeight="1">
      <c r="C5" s="507"/>
      <c r="D5" s="507"/>
      <c r="E5" s="507"/>
      <c r="F5" s="281"/>
      <c r="G5" s="281"/>
      <c r="H5" s="281"/>
      <c r="I5" s="281"/>
      <c r="J5" s="281"/>
      <c r="K5" s="281"/>
      <c r="L5" s="281"/>
      <c r="M5" s="281"/>
      <c r="N5" s="281"/>
      <c r="O5" s="281"/>
    </row>
    <row r="6" spans="1:62" ht="14.25" customHeight="1">
      <c r="A6" s="122"/>
      <c r="C6" s="184" t="s">
        <v>37</v>
      </c>
      <c r="D6" s="184"/>
      <c r="E6" s="184"/>
      <c r="F6" s="184"/>
      <c r="G6" s="184"/>
      <c r="H6" s="184"/>
      <c r="I6" s="484"/>
      <c r="J6" s="484"/>
      <c r="K6" s="484"/>
      <c r="L6" s="484"/>
      <c r="M6" s="184"/>
      <c r="N6" s="448"/>
      <c r="O6"/>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row>
    <row r="7" spans="5:63" ht="12.75" customHeight="1">
      <c r="E7" s="197" t="s">
        <v>430</v>
      </c>
      <c r="F7" s="184"/>
      <c r="G7" s="197" t="s">
        <v>208</v>
      </c>
      <c r="H7" s="184"/>
      <c r="I7" s="197" t="s">
        <v>207</v>
      </c>
      <c r="J7" s="484"/>
      <c r="K7" s="484"/>
      <c r="L7" s="271"/>
      <c r="M7" s="484"/>
      <c r="N7" s="329"/>
      <c r="O7"/>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row>
    <row r="8" spans="3:15" ht="12.75" customHeight="1">
      <c r="C8" s="144"/>
      <c r="D8" s="144"/>
      <c r="E8" s="22">
        <v>2007</v>
      </c>
      <c r="F8" s="144"/>
      <c r="G8" s="22">
        <v>2007</v>
      </c>
      <c r="H8" s="144"/>
      <c r="I8" s="22">
        <v>2006</v>
      </c>
      <c r="J8" s="377"/>
      <c r="K8" s="377"/>
      <c r="L8" s="29"/>
      <c r="M8" s="377"/>
      <c r="N8" s="29"/>
      <c r="O8"/>
    </row>
    <row r="9" spans="3:15" ht="4.5" customHeight="1">
      <c r="C9" s="144"/>
      <c r="D9" s="144"/>
      <c r="E9" s="162"/>
      <c r="F9" s="144"/>
      <c r="G9" s="162"/>
      <c r="H9" s="144"/>
      <c r="I9" s="162"/>
      <c r="J9" s="377"/>
      <c r="K9" s="377"/>
      <c r="L9" s="377"/>
      <c r="M9" s="377"/>
      <c r="N9" s="377"/>
      <c r="O9"/>
    </row>
    <row r="10" spans="3:15" ht="11.25" customHeight="1">
      <c r="C10" s="192" t="s">
        <v>334</v>
      </c>
      <c r="D10" s="192"/>
      <c r="E10" s="122"/>
      <c r="F10" s="192"/>
      <c r="G10" s="122"/>
      <c r="H10" s="192"/>
      <c r="I10" s="122"/>
      <c r="J10" s="485"/>
      <c r="K10" s="485"/>
      <c r="L10" s="122"/>
      <c r="M10" s="485"/>
      <c r="N10" s="122"/>
      <c r="O10"/>
    </row>
    <row r="11" spans="3:15" ht="13.5" customHeight="1">
      <c r="C11" s="23" t="s">
        <v>261</v>
      </c>
      <c r="D11" s="23"/>
      <c r="E11" s="31">
        <v>820</v>
      </c>
      <c r="F11" s="23"/>
      <c r="G11" s="31">
        <v>922</v>
      </c>
      <c r="H11" s="23"/>
      <c r="I11" s="31">
        <v>1013</v>
      </c>
      <c r="J11" s="61"/>
      <c r="K11" s="61"/>
      <c r="L11" s="32"/>
      <c r="M11" s="142"/>
      <c r="N11" s="32"/>
      <c r="O11" s="258"/>
    </row>
    <row r="12" spans="3:15" ht="13.5" customHeight="1">
      <c r="C12" s="23" t="s">
        <v>253</v>
      </c>
      <c r="D12" s="23"/>
      <c r="E12" s="63">
        <v>245</v>
      </c>
      <c r="F12" s="23"/>
      <c r="G12" s="63">
        <v>242</v>
      </c>
      <c r="H12" s="23"/>
      <c r="I12" s="63">
        <v>251</v>
      </c>
      <c r="J12" s="61"/>
      <c r="K12" s="61"/>
      <c r="L12" s="38"/>
      <c r="M12" s="142"/>
      <c r="N12" s="38"/>
      <c r="O12" s="258"/>
    </row>
    <row r="13" spans="3:15" ht="13.5" customHeight="1">
      <c r="C13" s="23" t="s">
        <v>349</v>
      </c>
      <c r="D13" s="23"/>
      <c r="E13" s="63">
        <v>33</v>
      </c>
      <c r="F13" s="23"/>
      <c r="G13" s="63">
        <v>42</v>
      </c>
      <c r="H13" s="23"/>
      <c r="I13" s="63">
        <v>36</v>
      </c>
      <c r="J13" s="61"/>
      <c r="K13" s="61"/>
      <c r="L13" s="38"/>
      <c r="M13" s="142"/>
      <c r="N13" s="38"/>
      <c r="O13" s="258"/>
    </row>
    <row r="14" spans="3:15" ht="13.5" customHeight="1">
      <c r="C14" s="23" t="s">
        <v>350</v>
      </c>
      <c r="D14" s="23"/>
      <c r="E14" s="63">
        <v>16</v>
      </c>
      <c r="F14" s="23"/>
      <c r="G14" s="63">
        <v>17</v>
      </c>
      <c r="H14" s="23"/>
      <c r="I14" s="63">
        <v>16</v>
      </c>
      <c r="J14" s="61"/>
      <c r="K14" s="61"/>
      <c r="L14" s="38"/>
      <c r="M14" s="142"/>
      <c r="N14" s="38"/>
      <c r="O14" s="258"/>
    </row>
    <row r="15" spans="3:15" ht="12.75" customHeight="1" thickBot="1">
      <c r="C15" s="204" t="s">
        <v>59</v>
      </c>
      <c r="D15" s="204"/>
      <c r="E15" s="194">
        <f>+E14+E12+E11+E13</f>
        <v>1114</v>
      </c>
      <c r="F15" s="204"/>
      <c r="G15" s="194">
        <f>+G14+G12+G11+G13</f>
        <v>1223</v>
      </c>
      <c r="H15" s="204"/>
      <c r="I15" s="194">
        <f>+I14+I12+I11+I13</f>
        <v>1316</v>
      </c>
      <c r="J15" s="220"/>
      <c r="K15" s="220"/>
      <c r="L15" s="214"/>
      <c r="M15" s="486"/>
      <c r="N15" s="214"/>
      <c r="O15" s="258"/>
    </row>
    <row r="16" spans="3:15" ht="7.5" customHeight="1" thickTop="1">
      <c r="C16" s="54"/>
      <c r="D16" s="54"/>
      <c r="E16" s="218"/>
      <c r="F16" s="54"/>
      <c r="G16" s="218"/>
      <c r="H16" s="54"/>
      <c r="I16" s="218"/>
      <c r="J16" s="544"/>
      <c r="K16" s="544"/>
      <c r="L16" s="218"/>
      <c r="M16" s="487"/>
      <c r="N16" s="218"/>
      <c r="O16" s="258"/>
    </row>
    <row r="17" spans="3:63" ht="11.25" customHeight="1">
      <c r="C17" s="192" t="s">
        <v>348</v>
      </c>
      <c r="D17" s="192"/>
      <c r="E17" s="224"/>
      <c r="F17" s="192"/>
      <c r="G17" s="224"/>
      <c r="H17" s="192"/>
      <c r="I17" s="224"/>
      <c r="J17" s="485"/>
      <c r="K17" s="485"/>
      <c r="L17" s="218"/>
      <c r="M17" s="488"/>
      <c r="N17" s="218"/>
      <c r="O17" s="258"/>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row>
    <row r="18" spans="3:15" ht="13.5" customHeight="1">
      <c r="C18" s="23" t="s">
        <v>252</v>
      </c>
      <c r="D18" s="23"/>
      <c r="E18" s="31">
        <v>9418</v>
      </c>
      <c r="F18" s="23"/>
      <c r="G18" s="31">
        <f>9528-23</f>
        <v>9505</v>
      </c>
      <c r="H18" s="23"/>
      <c r="I18" s="31">
        <f>9502-23</f>
        <v>9479</v>
      </c>
      <c r="J18" s="61"/>
      <c r="K18" s="61"/>
      <c r="L18" s="32"/>
      <c r="M18" s="142"/>
      <c r="N18" s="32"/>
      <c r="O18" s="258"/>
    </row>
    <row r="19" spans="3:15" ht="13.5" customHeight="1">
      <c r="C19" s="23" t="s">
        <v>259</v>
      </c>
      <c r="D19" s="23"/>
      <c r="E19" s="63">
        <v>3303</v>
      </c>
      <c r="F19" s="23"/>
      <c r="G19" s="63">
        <v>3425</v>
      </c>
      <c r="H19" s="23"/>
      <c r="I19" s="63">
        <v>3535</v>
      </c>
      <c r="J19" s="61"/>
      <c r="K19" s="61"/>
      <c r="L19" s="38"/>
      <c r="M19" s="142"/>
      <c r="N19" s="38"/>
      <c r="O19" s="258"/>
    </row>
    <row r="20" spans="3:15" ht="13.5" customHeight="1">
      <c r="C20" s="23" t="s">
        <v>349</v>
      </c>
      <c r="D20" s="23"/>
      <c r="E20" s="63">
        <v>674</v>
      </c>
      <c r="F20" s="23"/>
      <c r="G20" s="63">
        <f>667+23</f>
        <v>690</v>
      </c>
      <c r="H20" s="23"/>
      <c r="I20" s="63">
        <f>676+23</f>
        <v>699</v>
      </c>
      <c r="J20" s="61"/>
      <c r="K20" s="61"/>
      <c r="L20" s="38"/>
      <c r="M20" s="142"/>
      <c r="N20" s="38"/>
      <c r="O20" s="258"/>
    </row>
    <row r="21" spans="3:15" ht="13.5" customHeight="1">
      <c r="C21" s="23" t="s">
        <v>350</v>
      </c>
      <c r="D21" s="23"/>
      <c r="E21" s="63">
        <v>221</v>
      </c>
      <c r="F21" s="23"/>
      <c r="G21" s="63">
        <v>202</v>
      </c>
      <c r="H21" s="23"/>
      <c r="I21" s="63">
        <v>200</v>
      </c>
      <c r="J21" s="61"/>
      <c r="K21" s="61"/>
      <c r="L21" s="38"/>
      <c r="M21" s="142"/>
      <c r="N21" s="38"/>
      <c r="O21" s="258"/>
    </row>
    <row r="22" spans="3:15" ht="12.75" customHeight="1" thickBot="1">
      <c r="C22" s="204" t="s">
        <v>59</v>
      </c>
      <c r="D22" s="204"/>
      <c r="E22" s="194">
        <f>+E21+E19+E18+E20</f>
        <v>13616</v>
      </c>
      <c r="F22" s="204"/>
      <c r="G22" s="194">
        <f>+G21+G19+G18+G20</f>
        <v>13822</v>
      </c>
      <c r="H22" s="204"/>
      <c r="I22" s="194">
        <f>+I21+I19+I18+I20</f>
        <v>13913</v>
      </c>
      <c r="J22" s="220"/>
      <c r="K22" s="220"/>
      <c r="L22" s="214"/>
      <c r="M22" s="486"/>
      <c r="N22" s="214"/>
      <c r="O22" s="258"/>
    </row>
    <row r="23" spans="5:15" ht="7.5" customHeight="1" thickTop="1">
      <c r="E23" s="233"/>
      <c r="G23" s="233"/>
      <c r="I23" s="233"/>
      <c r="J23" s="81"/>
      <c r="K23" s="81"/>
      <c r="L23" s="489"/>
      <c r="M23" s="469"/>
      <c r="N23" s="489"/>
      <c r="O23" s="258"/>
    </row>
    <row r="24" spans="3:63" ht="11.25" customHeight="1">
      <c r="C24" s="192" t="s">
        <v>174</v>
      </c>
      <c r="D24" s="192"/>
      <c r="E24" s="234"/>
      <c r="F24" s="192"/>
      <c r="G24" s="234"/>
      <c r="H24" s="192"/>
      <c r="I24" s="234"/>
      <c r="J24" s="485"/>
      <c r="K24" s="485"/>
      <c r="L24" s="490"/>
      <c r="M24" s="488"/>
      <c r="N24" s="490"/>
      <c r="O24" s="258"/>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row>
    <row r="25" spans="3:18" ht="13.5" customHeight="1">
      <c r="C25" s="23" t="s">
        <v>252</v>
      </c>
      <c r="D25" s="23"/>
      <c r="E25" s="31">
        <f>E11+E18</f>
        <v>10238</v>
      </c>
      <c r="F25" s="23"/>
      <c r="G25" s="31">
        <f>G11+G18</f>
        <v>10427</v>
      </c>
      <c r="H25" s="23"/>
      <c r="I25" s="31">
        <v>10515</v>
      </c>
      <c r="J25" s="61"/>
      <c r="K25" s="61"/>
      <c r="L25" s="32"/>
      <c r="M25" s="142"/>
      <c r="N25" s="32"/>
      <c r="O25" s="258"/>
      <c r="R25" s="264"/>
    </row>
    <row r="26" spans="3:15" ht="13.5" customHeight="1">
      <c r="C26" s="23" t="s">
        <v>259</v>
      </c>
      <c r="D26" s="23"/>
      <c r="E26" s="63">
        <f>E12+E19</f>
        <v>3548</v>
      </c>
      <c r="F26" s="23"/>
      <c r="G26" s="63">
        <f>G12+G19</f>
        <v>3667</v>
      </c>
      <c r="H26" s="23"/>
      <c r="I26" s="63">
        <v>3786</v>
      </c>
      <c r="J26" s="61"/>
      <c r="K26" s="61"/>
      <c r="L26" s="38"/>
      <c r="M26" s="142"/>
      <c r="N26" s="38"/>
      <c r="O26" s="258"/>
    </row>
    <row r="27" spans="3:15" ht="13.5" customHeight="1">
      <c r="C27" s="23" t="s">
        <v>349</v>
      </c>
      <c r="D27" s="23"/>
      <c r="E27" s="63">
        <f>E13+E20</f>
        <v>707</v>
      </c>
      <c r="F27" s="23"/>
      <c r="G27" s="63">
        <f>G13+G20</f>
        <v>732</v>
      </c>
      <c r="H27" s="23"/>
      <c r="I27" s="63">
        <v>712</v>
      </c>
      <c r="J27" s="61"/>
      <c r="K27" s="61"/>
      <c r="L27" s="38"/>
      <c r="M27" s="142"/>
      <c r="N27" s="38"/>
      <c r="O27" s="258"/>
    </row>
    <row r="28" spans="3:15" ht="13.5" customHeight="1">
      <c r="C28" s="23" t="s">
        <v>350</v>
      </c>
      <c r="D28" s="23"/>
      <c r="E28" s="63">
        <f>E14+E21</f>
        <v>237</v>
      </c>
      <c r="F28" s="23"/>
      <c r="G28" s="63">
        <f>G14+G21</f>
        <v>219</v>
      </c>
      <c r="H28" s="23"/>
      <c r="I28" s="63">
        <v>216</v>
      </c>
      <c r="J28" s="61"/>
      <c r="K28" s="61"/>
      <c r="L28" s="38"/>
      <c r="M28" s="142"/>
      <c r="N28" s="38"/>
      <c r="O28" s="258"/>
    </row>
    <row r="29" spans="3:63" ht="13.5" thickBot="1">
      <c r="C29" s="204" t="s">
        <v>59</v>
      </c>
      <c r="D29" s="204"/>
      <c r="E29" s="194">
        <f>+E28+E26+E25+E27</f>
        <v>14730</v>
      </c>
      <c r="F29" s="204"/>
      <c r="G29" s="194">
        <f>+G28+G26+G25+G27</f>
        <v>15045</v>
      </c>
      <c r="H29" s="204"/>
      <c r="I29" s="194">
        <f>+I28+I26+I25+I27</f>
        <v>15229</v>
      </c>
      <c r="J29" s="220"/>
      <c r="K29" s="220"/>
      <c r="L29" s="214"/>
      <c r="M29" s="486"/>
      <c r="N29" s="214"/>
      <c r="O29" s="258"/>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row>
    <row r="30" spans="3:63" ht="7.5" customHeight="1" thickTop="1">
      <c r="C30" s="54"/>
      <c r="D30" s="54"/>
      <c r="E30" s="218"/>
      <c r="F30" s="54"/>
      <c r="G30" s="218"/>
      <c r="H30" s="54"/>
      <c r="I30" s="218"/>
      <c r="J30" s="544"/>
      <c r="K30" s="544"/>
      <c r="L30" s="218"/>
      <c r="M30" s="487"/>
      <c r="N30" s="218"/>
      <c r="O30" s="258"/>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row>
    <row r="31" spans="3:63" ht="11.25" customHeight="1">
      <c r="C31" s="192" t="s">
        <v>344</v>
      </c>
      <c r="D31" s="192"/>
      <c r="E31" s="235"/>
      <c r="F31" s="192"/>
      <c r="G31" s="235"/>
      <c r="H31" s="192"/>
      <c r="I31" s="235"/>
      <c r="J31" s="485"/>
      <c r="K31" s="485"/>
      <c r="L31" s="491"/>
      <c r="M31" s="488"/>
      <c r="N31" s="491"/>
      <c r="O31" s="258"/>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row>
    <row r="32" spans="3:15" ht="13.5" customHeight="1">
      <c r="C32" s="23" t="s">
        <v>252</v>
      </c>
      <c r="D32" s="23"/>
      <c r="E32" s="31">
        <v>-427</v>
      </c>
      <c r="F32" s="23"/>
      <c r="G32" s="31">
        <f>-478+23</f>
        <v>-455</v>
      </c>
      <c r="H32" s="23"/>
      <c r="I32" s="31">
        <f>-450+23</f>
        <v>-427</v>
      </c>
      <c r="J32" s="61"/>
      <c r="K32" s="61"/>
      <c r="L32" s="32"/>
      <c r="M32" s="142"/>
      <c r="N32" s="32"/>
      <c r="O32" s="258"/>
    </row>
    <row r="33" spans="3:15" ht="13.5" customHeight="1">
      <c r="C33" s="23" t="s">
        <v>253</v>
      </c>
      <c r="D33" s="23"/>
      <c r="E33" s="63">
        <v>-169</v>
      </c>
      <c r="F33" s="23"/>
      <c r="G33" s="63">
        <v>-169</v>
      </c>
      <c r="H33" s="23"/>
      <c r="I33" s="63">
        <v>-172</v>
      </c>
      <c r="J33" s="61"/>
      <c r="K33" s="61"/>
      <c r="L33" s="38"/>
      <c r="M33" s="142"/>
      <c r="N33" s="38"/>
      <c r="O33" s="258"/>
    </row>
    <row r="34" spans="3:15" ht="13.5" customHeight="1">
      <c r="C34" s="23" t="s">
        <v>349</v>
      </c>
      <c r="D34" s="23"/>
      <c r="E34" s="63">
        <v>-31</v>
      </c>
      <c r="F34" s="23"/>
      <c r="G34" s="63">
        <f>-7-23</f>
        <v>-30</v>
      </c>
      <c r="H34" s="23"/>
      <c r="I34" s="63">
        <f>-7-23</f>
        <v>-30</v>
      </c>
      <c r="J34" s="61"/>
      <c r="K34" s="61"/>
      <c r="L34" s="38"/>
      <c r="M34" s="142"/>
      <c r="N34" s="38"/>
      <c r="O34" s="258"/>
    </row>
    <row r="35" spans="3:15" ht="13.5" customHeight="1">
      <c r="C35" s="23" t="s">
        <v>350</v>
      </c>
      <c r="D35" s="23"/>
      <c r="E35" s="63">
        <v>-22</v>
      </c>
      <c r="F35" s="23"/>
      <c r="G35" s="63">
        <v>-17</v>
      </c>
      <c r="H35" s="23"/>
      <c r="I35" s="63">
        <v>-20</v>
      </c>
      <c r="J35" s="61"/>
      <c r="K35" s="61"/>
      <c r="L35" s="38"/>
      <c r="M35" s="142"/>
      <c r="N35" s="38"/>
      <c r="O35" s="258"/>
    </row>
    <row r="36" spans="3:15" ht="12.75" customHeight="1" thickBot="1">
      <c r="C36" s="23" t="s">
        <v>59</v>
      </c>
      <c r="D36" s="23"/>
      <c r="E36" s="194">
        <f>+E35+E33+E32+E34</f>
        <v>-649</v>
      </c>
      <c r="F36" s="23"/>
      <c r="G36" s="194">
        <f>+G35+G33+G32+G34</f>
        <v>-671</v>
      </c>
      <c r="H36" s="23"/>
      <c r="I36" s="194">
        <f>+I35+I33+I32+I34</f>
        <v>-649</v>
      </c>
      <c r="J36" s="61"/>
      <c r="K36" s="61"/>
      <c r="L36" s="214"/>
      <c r="M36" s="142"/>
      <c r="N36" s="214"/>
      <c r="O36" s="258"/>
    </row>
    <row r="37" spans="3:63" ht="8.25" customHeight="1" thickTop="1">
      <c r="C37" s="54"/>
      <c r="D37" s="54"/>
      <c r="E37" s="218"/>
      <c r="F37" s="54"/>
      <c r="G37" s="218"/>
      <c r="H37" s="54"/>
      <c r="I37" s="218"/>
      <c r="J37" s="544"/>
      <c r="K37" s="544"/>
      <c r="L37" s="218"/>
      <c r="M37" s="487"/>
      <c r="N37" s="218"/>
      <c r="O37" s="258"/>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row>
    <row r="38" spans="3:63" ht="11.25" customHeight="1">
      <c r="C38" s="192" t="s">
        <v>153</v>
      </c>
      <c r="D38" s="192"/>
      <c r="E38" s="235"/>
      <c r="F38" s="192"/>
      <c r="G38" s="235"/>
      <c r="H38" s="192"/>
      <c r="I38" s="235"/>
      <c r="J38" s="485"/>
      <c r="K38" s="485"/>
      <c r="L38" s="491"/>
      <c r="M38" s="488"/>
      <c r="N38" s="491"/>
      <c r="O38" s="258"/>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row>
    <row r="39" spans="3:15" ht="13.5" customHeight="1">
      <c r="C39" s="23" t="s">
        <v>252</v>
      </c>
      <c r="D39" s="23"/>
      <c r="E39" s="31">
        <f>E25+E32</f>
        <v>9811</v>
      </c>
      <c r="F39" s="23"/>
      <c r="G39" s="31">
        <f>G25+G32</f>
        <v>9972</v>
      </c>
      <c r="H39" s="23"/>
      <c r="I39" s="31">
        <f>I25+I32</f>
        <v>10088</v>
      </c>
      <c r="J39" s="61"/>
      <c r="K39" s="61"/>
      <c r="L39" s="32"/>
      <c r="M39" s="142"/>
      <c r="N39" s="32"/>
      <c r="O39" s="258"/>
    </row>
    <row r="40" spans="3:15" ht="13.5" customHeight="1">
      <c r="C40" s="23" t="s">
        <v>253</v>
      </c>
      <c r="D40" s="23"/>
      <c r="E40" s="63">
        <f>E26+E33</f>
        <v>3379</v>
      </c>
      <c r="F40" s="23"/>
      <c r="G40" s="63">
        <f>G26+G33</f>
        <v>3498</v>
      </c>
      <c r="H40" s="23"/>
      <c r="I40" s="63">
        <f>I26+I33</f>
        <v>3614</v>
      </c>
      <c r="J40" s="61"/>
      <c r="K40" s="61"/>
      <c r="L40" s="38"/>
      <c r="M40" s="142"/>
      <c r="N40" s="38"/>
      <c r="O40" s="258"/>
    </row>
    <row r="41" spans="3:15" ht="13.5" customHeight="1">
      <c r="C41" s="23" t="s">
        <v>349</v>
      </c>
      <c r="D41" s="23"/>
      <c r="E41" s="63">
        <f>E27+E34</f>
        <v>676</v>
      </c>
      <c r="F41" s="23"/>
      <c r="G41" s="63">
        <f>G27+G34</f>
        <v>702</v>
      </c>
      <c r="H41" s="23"/>
      <c r="I41" s="63">
        <f>I27+I34</f>
        <v>682</v>
      </c>
      <c r="J41" s="61"/>
      <c r="K41" s="61"/>
      <c r="L41" s="38"/>
      <c r="M41" s="142"/>
      <c r="N41" s="38"/>
      <c r="O41" s="258"/>
    </row>
    <row r="42" spans="3:15" ht="13.5" customHeight="1">
      <c r="C42" s="23" t="s">
        <v>350</v>
      </c>
      <c r="D42" s="23"/>
      <c r="E42" s="63">
        <f>E28+E35</f>
        <v>215</v>
      </c>
      <c r="F42" s="23"/>
      <c r="G42" s="63">
        <f>G28+G35</f>
        <v>202</v>
      </c>
      <c r="H42" s="23"/>
      <c r="I42" s="63">
        <f>I28+I35</f>
        <v>196</v>
      </c>
      <c r="J42" s="61"/>
      <c r="K42" s="61"/>
      <c r="L42" s="38"/>
      <c r="M42" s="142"/>
      <c r="N42" s="38"/>
      <c r="O42" s="258"/>
    </row>
    <row r="43" spans="3:15" ht="12.75" customHeight="1" thickBot="1">
      <c r="C43" s="23" t="s">
        <v>59</v>
      </c>
      <c r="D43" s="23"/>
      <c r="E43" s="194">
        <f>+E42+E40+E39+E41</f>
        <v>14081</v>
      </c>
      <c r="F43" s="23"/>
      <c r="G43" s="194">
        <f>+G42+G40+G39+G41</f>
        <v>14374</v>
      </c>
      <c r="H43" s="23"/>
      <c r="I43" s="194">
        <f>+I42+I40+I39+I41</f>
        <v>14580</v>
      </c>
      <c r="J43" s="61"/>
      <c r="K43" s="61"/>
      <c r="L43" s="214"/>
      <c r="M43" s="142"/>
      <c r="N43" s="214"/>
      <c r="O43" s="258"/>
    </row>
    <row r="44" spans="3:15" ht="12.75" customHeight="1" thickTop="1">
      <c r="C44" s="23"/>
      <c r="D44" s="23"/>
      <c r="E44" s="23"/>
      <c r="F44" s="23"/>
      <c r="G44" s="23"/>
      <c r="H44" s="23"/>
      <c r="I44" s="61"/>
      <c r="J44" s="61"/>
      <c r="K44" s="61"/>
      <c r="L44" s="61"/>
      <c r="M44" s="23"/>
      <c r="N44" s="62"/>
      <c r="O44"/>
    </row>
    <row r="45" spans="3:15" ht="12.75" customHeight="1">
      <c r="C45" s="261"/>
      <c r="D45" s="261"/>
      <c r="E45" s="261"/>
      <c r="F45" s="261"/>
      <c r="G45" s="261"/>
      <c r="H45" s="261"/>
      <c r="I45" s="261"/>
      <c r="J45" s="261"/>
      <c r="K45" s="23"/>
      <c r="L45" s="23"/>
      <c r="M45" s="23"/>
      <c r="N45" s="23"/>
      <c r="O45"/>
    </row>
    <row r="46" spans="3:15" ht="12.75" customHeight="1">
      <c r="C46" s="261"/>
      <c r="D46" s="261"/>
      <c r="E46" s="261"/>
      <c r="F46" s="261"/>
      <c r="G46" s="261"/>
      <c r="H46" s="261"/>
      <c r="I46" s="261"/>
      <c r="J46" s="261"/>
      <c r="K46" s="23"/>
      <c r="L46" s="23"/>
      <c r="M46" s="23"/>
      <c r="N46" s="23"/>
      <c r="O46"/>
    </row>
    <row r="47" spans="3:15" ht="12.75" customHeight="1">
      <c r="C47"/>
      <c r="D47"/>
      <c r="E47"/>
      <c r="F47"/>
      <c r="G47"/>
      <c r="H47"/>
      <c r="I47"/>
      <c r="J47"/>
      <c r="K47" s="23"/>
      <c r="L47" s="23"/>
      <c r="M47" s="23"/>
      <c r="N47" s="23"/>
      <c r="O47"/>
    </row>
    <row r="48" spans="3:15" ht="12.75" customHeight="1">
      <c r="C48" s="23"/>
      <c r="D48" s="23"/>
      <c r="E48" s="23"/>
      <c r="F48" s="23"/>
      <c r="G48" s="23"/>
      <c r="H48" s="23"/>
      <c r="I48" s="23"/>
      <c r="J48" s="23"/>
      <c r="K48" s="23"/>
      <c r="L48" s="23"/>
      <c r="M48" s="23"/>
      <c r="N48" s="23"/>
      <c r="O48"/>
    </row>
    <row r="49" spans="3:15" ht="12.75" customHeight="1">
      <c r="C49" s="23"/>
      <c r="D49" s="23"/>
      <c r="E49" s="23"/>
      <c r="F49" s="23"/>
      <c r="G49" s="23"/>
      <c r="H49" s="23"/>
      <c r="I49" s="23"/>
      <c r="J49" s="23"/>
      <c r="K49" s="23"/>
      <c r="L49" s="23"/>
      <c r="M49" s="23"/>
      <c r="N49" s="23"/>
      <c r="O49"/>
    </row>
    <row r="50" spans="3:15" ht="12.75" customHeight="1">
      <c r="C50" s="23"/>
      <c r="D50" s="23"/>
      <c r="E50" s="23"/>
      <c r="F50" s="23"/>
      <c r="G50" s="23"/>
      <c r="H50" s="23"/>
      <c r="I50" s="23"/>
      <c r="J50" s="23"/>
      <c r="K50" s="23"/>
      <c r="L50" s="23"/>
      <c r="M50" s="23"/>
      <c r="N50" s="23"/>
      <c r="O50"/>
    </row>
    <row r="51" spans="3:15" ht="12.75" customHeight="1">
      <c r="C51" s="23"/>
      <c r="D51" s="23"/>
      <c r="E51" s="23"/>
      <c r="F51" s="23"/>
      <c r="G51" s="23"/>
      <c r="H51" s="23"/>
      <c r="I51" s="23"/>
      <c r="J51" s="23"/>
      <c r="K51" s="23"/>
      <c r="L51" s="23"/>
      <c r="M51" s="23"/>
      <c r="N51" s="23"/>
      <c r="O51"/>
    </row>
    <row r="52" spans="3:15" ht="12.75" customHeight="1">
      <c r="C52" s="23"/>
      <c r="D52" s="23"/>
      <c r="E52" s="23"/>
      <c r="F52" s="23"/>
      <c r="G52" s="23"/>
      <c r="H52" s="23"/>
      <c r="I52" s="23"/>
      <c r="J52" s="23"/>
      <c r="K52" s="23"/>
      <c r="L52" s="23"/>
      <c r="M52" s="23"/>
      <c r="N52" s="23"/>
      <c r="O52" s="23"/>
    </row>
    <row r="53" spans="1:53" ht="12.75">
      <c r="A53" s="215"/>
      <c r="B53" s="216"/>
      <c r="K53" s="247"/>
      <c r="L53" s="247"/>
      <c r="M53" s="247"/>
      <c r="N53" s="247"/>
      <c r="O53" s="247"/>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row>
    <row r="54" spans="1:53" ht="12" customHeight="1">
      <c r="A54" s="215"/>
      <c r="B54" s="215"/>
      <c r="C54" s="217"/>
      <c r="D54" s="217"/>
      <c r="E54" s="217"/>
      <c r="F54" s="217"/>
      <c r="G54" s="217"/>
      <c r="H54" s="217"/>
      <c r="I54" s="217"/>
      <c r="J54" s="217"/>
      <c r="K54" s="217"/>
      <c r="L54" s="217"/>
      <c r="M54" s="217"/>
      <c r="N54" s="217"/>
      <c r="O54" s="217"/>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row>
    <row r="55" spans="17:53" ht="12" customHeight="1">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row>
    <row r="56" spans="3:56" ht="12" customHeight="1">
      <c r="C56" s="69"/>
      <c r="D56" s="69"/>
      <c r="E56" s="69"/>
      <c r="F56" s="69"/>
      <c r="G56" s="69"/>
      <c r="H56" s="69"/>
      <c r="I56" s="69"/>
      <c r="J56" s="69"/>
      <c r="K56" s="69"/>
      <c r="L56" s="69"/>
      <c r="M56" s="69"/>
      <c r="N56" s="69"/>
      <c r="O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row>
    <row r="57" spans="3:56" ht="12.75" customHeight="1">
      <c r="C57" s="69"/>
      <c r="D57" s="69"/>
      <c r="E57" s="69"/>
      <c r="F57" s="69"/>
      <c r="G57" s="69"/>
      <c r="H57" s="69"/>
      <c r="I57" s="69"/>
      <c r="J57" s="69"/>
      <c r="K57" s="69"/>
      <c r="L57" s="69"/>
      <c r="M57" s="69"/>
      <c r="N57" s="69"/>
      <c r="O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row>
    <row r="58" spans="3:56" ht="11.25" customHeight="1">
      <c r="C58" s="69"/>
      <c r="D58" s="69"/>
      <c r="E58" s="69"/>
      <c r="F58" s="69"/>
      <c r="G58" s="69"/>
      <c r="H58" s="69"/>
      <c r="I58" s="69"/>
      <c r="J58" s="69"/>
      <c r="K58" s="69"/>
      <c r="L58" s="69"/>
      <c r="M58" s="69"/>
      <c r="N58" s="69"/>
      <c r="O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row>
    <row r="59" ht="12" customHeight="1"/>
    <row r="60" ht="12.75" customHeight="1"/>
    <row r="61" ht="15" customHeight="1"/>
    <row r="62" ht="12" customHeight="1"/>
    <row r="63" spans="12:15" ht="12" customHeight="1">
      <c r="L63"/>
      <c r="M63"/>
      <c r="N63"/>
      <c r="O63"/>
    </row>
    <row r="64" spans="14:18" ht="12" customHeight="1">
      <c r="N64"/>
      <c r="O64"/>
      <c r="Q64"/>
      <c r="R64"/>
    </row>
    <row r="65" spans="1:20" ht="12" customHeight="1">
      <c r="A65" s="517" t="s">
        <v>359</v>
      </c>
      <c r="C65" s="236" t="s">
        <v>190</v>
      </c>
      <c r="D65" s="236"/>
      <c r="E65" s="237">
        <v>39263</v>
      </c>
      <c r="F65" s="236"/>
      <c r="G65" s="237">
        <v>39172</v>
      </c>
      <c r="H65" s="236"/>
      <c r="I65" s="237">
        <v>39082</v>
      </c>
      <c r="J65" s="236"/>
      <c r="K65"/>
      <c r="L65"/>
      <c r="M65"/>
      <c r="N65"/>
      <c r="O65" s="236"/>
      <c r="Q65"/>
      <c r="R65"/>
      <c r="S65"/>
      <c r="T65"/>
    </row>
    <row r="66" spans="3:20" ht="12" customHeight="1">
      <c r="C66" s="238" t="s">
        <v>153</v>
      </c>
      <c r="D66" s="238"/>
      <c r="E66" s="278">
        <f>+E43</f>
        <v>14081</v>
      </c>
      <c r="F66" s="238"/>
      <c r="G66" s="278">
        <f>+G43</f>
        <v>14374</v>
      </c>
      <c r="H66" s="238"/>
      <c r="I66" s="278">
        <f>+I43</f>
        <v>14580</v>
      </c>
      <c r="J66" s="238"/>
      <c r="K66"/>
      <c r="L66"/>
      <c r="M66"/>
      <c r="N66"/>
      <c r="O66" s="238"/>
      <c r="Q66"/>
      <c r="R66"/>
      <c r="S66"/>
      <c r="T66"/>
    </row>
    <row r="67" spans="3:20" ht="12" customHeight="1">
      <c r="C67" s="502" t="s">
        <v>334</v>
      </c>
      <c r="D67" s="502"/>
      <c r="E67" s="278">
        <f>-'Reinsurance Recoverable 4'!H22</f>
        <v>-1114</v>
      </c>
      <c r="F67" s="502"/>
      <c r="G67" s="278">
        <f>-'Reinsurance Recoverable 4'!H17</f>
        <v>-1223</v>
      </c>
      <c r="H67" s="238"/>
      <c r="I67" s="278">
        <f>-'Reinsurance Recoverable 4'!H12</f>
        <v>-1316</v>
      </c>
      <c r="J67" s="238"/>
      <c r="K67"/>
      <c r="L67"/>
      <c r="M67"/>
      <c r="N67"/>
      <c r="O67" s="238"/>
      <c r="Q67"/>
      <c r="R67"/>
      <c r="S67"/>
      <c r="T67"/>
    </row>
    <row r="68" spans="3:20" ht="12" customHeight="1">
      <c r="C68" s="502" t="s">
        <v>345</v>
      </c>
      <c r="D68" s="502"/>
      <c r="E68" s="577">
        <f>+'Reinsurance Recoverable 4'!H23</f>
        <v>219</v>
      </c>
      <c r="F68" s="502"/>
      <c r="G68" s="278">
        <f>+'Reinsurance Recoverable 4'!H18</f>
        <v>272</v>
      </c>
      <c r="H68" s="238"/>
      <c r="I68" s="278">
        <f>+'Reinsurance Recoverable 4'!H13</f>
        <v>255</v>
      </c>
      <c r="J68" s="238"/>
      <c r="K68"/>
      <c r="L68"/>
      <c r="M68"/>
      <c r="N68"/>
      <c r="O68" s="238"/>
      <c r="Q68"/>
      <c r="R68"/>
      <c r="S68"/>
      <c r="T68"/>
    </row>
    <row r="69" spans="3:20" ht="12" customHeight="1">
      <c r="C69" s="502" t="s">
        <v>335</v>
      </c>
      <c r="D69" s="502"/>
      <c r="E69" s="538">
        <v>-10</v>
      </c>
      <c r="F69" s="502"/>
      <c r="G69" s="538">
        <v>-10</v>
      </c>
      <c r="H69" s="538"/>
      <c r="I69" s="538">
        <v>-10</v>
      </c>
      <c r="J69" s="538"/>
      <c r="K69"/>
      <c r="L69"/>
      <c r="M69"/>
      <c r="N69"/>
      <c r="O69" s="238"/>
      <c r="Q69"/>
      <c r="R69"/>
      <c r="S69"/>
      <c r="T69"/>
    </row>
    <row r="70" spans="3:20" ht="12" customHeight="1" thickBot="1">
      <c r="C70" s="161"/>
      <c r="D70" s="161"/>
      <c r="E70" s="239">
        <f>SUM(E66:E69)</f>
        <v>13176</v>
      </c>
      <c r="F70" s="161"/>
      <c r="G70" s="239">
        <f>SUM(G66:G69)</f>
        <v>13413</v>
      </c>
      <c r="H70" s="161"/>
      <c r="I70" s="239">
        <f>SUM(I66:I69)</f>
        <v>13509</v>
      </c>
      <c r="J70" s="161"/>
      <c r="K70"/>
      <c r="L70"/>
      <c r="M70"/>
      <c r="N70"/>
      <c r="O70" s="161"/>
      <c r="Q70"/>
      <c r="R70"/>
      <c r="S70"/>
      <c r="T70"/>
    </row>
    <row r="71" spans="11:20" ht="12" customHeight="1" thickTop="1">
      <c r="K71"/>
      <c r="L71"/>
      <c r="M71"/>
      <c r="N71"/>
      <c r="Q71"/>
      <c r="R71"/>
      <c r="S71"/>
      <c r="T71"/>
    </row>
    <row r="72" spans="5:20" ht="12" customHeight="1">
      <c r="E72" s="358">
        <f>+'Loss Reserve Rollforward'!D41</f>
        <v>13176</v>
      </c>
      <c r="G72" s="358">
        <f>+'Loss Reserve Rollforward'!D36</f>
        <v>13413</v>
      </c>
      <c r="I72" s="358">
        <f>+'Loss Reserve Rollforward'!D31</f>
        <v>13509</v>
      </c>
      <c r="K72"/>
      <c r="L72"/>
      <c r="M72"/>
      <c r="N72"/>
      <c r="Q72"/>
      <c r="R72"/>
      <c r="S72"/>
      <c r="T72"/>
    </row>
    <row r="73" spans="5:20" ht="12" customHeight="1">
      <c r="E73" s="461">
        <f>+E70-E72</f>
        <v>0</v>
      </c>
      <c r="G73" s="461">
        <f>+G70-G72</f>
        <v>0</v>
      </c>
      <c r="I73" s="461">
        <f>+I70-I72</f>
        <v>0</v>
      </c>
      <c r="K73"/>
      <c r="L73"/>
      <c r="M73"/>
      <c r="N73"/>
      <c r="Q73"/>
      <c r="R73"/>
      <c r="S73"/>
      <c r="T73"/>
    </row>
    <row r="74" spans="11:20" ht="12" customHeight="1">
      <c r="K74"/>
      <c r="L74"/>
      <c r="M74"/>
      <c r="N74"/>
      <c r="Q74"/>
      <c r="R74"/>
      <c r="S74"/>
      <c r="T74"/>
    </row>
    <row r="75" spans="9:15" ht="12" customHeight="1">
      <c r="I75"/>
      <c r="J75"/>
      <c r="K75"/>
      <c r="L75"/>
      <c r="M75"/>
      <c r="N75"/>
      <c r="O75"/>
    </row>
    <row r="76" spans="12:15" ht="12" customHeight="1">
      <c r="L76"/>
      <c r="M76"/>
      <c r="N76"/>
      <c r="O76"/>
    </row>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sheetData>
  <mergeCells count="4">
    <mergeCell ref="A1:M1"/>
    <mergeCell ref="A2:M2"/>
    <mergeCell ref="A3:M3"/>
    <mergeCell ref="A4:M4"/>
  </mergeCells>
  <conditionalFormatting sqref="G73 I73 E73">
    <cfRule type="cellIs" priority="1" dxfId="2" operator="notEqual" stopIfTrue="1">
      <formula>0</formula>
    </cfRule>
  </conditionalFormatting>
  <printOptions/>
  <pageMargins left="0.5" right="0.5" top="0.5" bottom="0.55" header="0.75" footer="0.3"/>
  <pageSetup horizontalDpi="600" verticalDpi="600" orientation="landscape" r:id="rId2"/>
  <headerFooter alignWithMargins="0">
    <oddFooter>&amp;L&amp;A&amp;R&amp;"Arial,Regular"&amp;8Page 13</oddFooter>
  </headerFooter>
  <drawing r:id="rId1"/>
</worksheet>
</file>

<file path=xl/worksheets/sheet16.xml><?xml version="1.0" encoding="utf-8"?>
<worksheet xmlns="http://schemas.openxmlformats.org/spreadsheetml/2006/main" xmlns:r="http://schemas.openxmlformats.org/officeDocument/2006/relationships">
  <sheetPr codeName="Sheet54"/>
  <dimension ref="A1:BH50"/>
  <sheetViews>
    <sheetView workbookViewId="0" topLeftCell="A1">
      <selection activeCell="A1" sqref="A1:J1"/>
    </sheetView>
  </sheetViews>
  <sheetFormatPr defaultColWidth="9.33203125" defaultRowHeight="12.75"/>
  <cols>
    <col min="1" max="2" width="3.33203125" style="68" customWidth="1"/>
    <col min="3" max="3" width="50.16015625" style="68" customWidth="1"/>
    <col min="4" max="6" width="12.83203125" style="68" customWidth="1"/>
    <col min="7" max="7" width="10" style="68" customWidth="1"/>
    <col min="8" max="8" width="11.5" style="68" customWidth="1"/>
    <col min="9" max="10" width="12.83203125" style="68" customWidth="1"/>
    <col min="11" max="11" width="3.83203125" style="68" customWidth="1"/>
    <col min="12" max="16384" width="10.66015625" style="68" customWidth="1"/>
  </cols>
  <sheetData>
    <row r="1" spans="1:14" ht="14.25" customHeight="1">
      <c r="A1" s="600" t="s">
        <v>89</v>
      </c>
      <c r="B1" s="600"/>
      <c r="C1" s="600"/>
      <c r="D1" s="600"/>
      <c r="E1" s="600"/>
      <c r="F1" s="600"/>
      <c r="G1" s="600"/>
      <c r="H1" s="600"/>
      <c r="I1" s="600"/>
      <c r="J1" s="600"/>
      <c r="K1" s="348"/>
      <c r="L1" s="348"/>
      <c r="M1" s="348"/>
      <c r="N1" s="348"/>
    </row>
    <row r="2" spans="1:14" ht="14.25" customHeight="1">
      <c r="A2" s="603" t="s">
        <v>327</v>
      </c>
      <c r="B2" s="603"/>
      <c r="C2" s="603"/>
      <c r="D2" s="603"/>
      <c r="E2" s="603"/>
      <c r="F2" s="603"/>
      <c r="G2" s="603"/>
      <c r="H2" s="603"/>
      <c r="I2" s="603"/>
      <c r="J2" s="603"/>
      <c r="K2" s="350"/>
      <c r="L2" s="350"/>
      <c r="M2" s="350"/>
      <c r="N2" s="350"/>
    </row>
    <row r="3" spans="1:14" ht="14.25" customHeight="1">
      <c r="A3" s="602" t="s">
        <v>147</v>
      </c>
      <c r="B3" s="602"/>
      <c r="C3" s="602"/>
      <c r="D3" s="602"/>
      <c r="E3" s="602"/>
      <c r="F3" s="602"/>
      <c r="G3" s="602"/>
      <c r="H3" s="602"/>
      <c r="I3" s="602"/>
      <c r="J3" s="602"/>
      <c r="K3" s="351"/>
      <c r="L3" s="351"/>
      <c r="M3" s="351"/>
      <c r="N3" s="351"/>
    </row>
    <row r="4" spans="1:14" ht="14.25" customHeight="1">
      <c r="A4" s="602" t="s">
        <v>163</v>
      </c>
      <c r="B4" s="602"/>
      <c r="C4" s="602"/>
      <c r="D4" s="602"/>
      <c r="E4" s="602"/>
      <c r="F4" s="602"/>
      <c r="G4" s="602"/>
      <c r="H4" s="602"/>
      <c r="I4" s="602"/>
      <c r="J4" s="602"/>
      <c r="K4" s="351"/>
      <c r="L4" s="351"/>
      <c r="M4" s="351"/>
      <c r="N4" s="351"/>
    </row>
    <row r="5" spans="3:10" ht="6" customHeight="1">
      <c r="C5" s="74"/>
      <c r="D5" s="73"/>
      <c r="E5" s="73"/>
      <c r="F5" s="73"/>
      <c r="G5" s="73"/>
      <c r="H5" s="73"/>
      <c r="I5" s="283"/>
      <c r="J5" s="284"/>
    </row>
    <row r="6" spans="3:10" ht="11.25" customHeight="1">
      <c r="C6" s="507"/>
      <c r="D6" s="73"/>
      <c r="E6" s="73"/>
      <c r="F6" s="73"/>
      <c r="G6" s="73"/>
      <c r="H6" s="73"/>
      <c r="I6" s="283"/>
      <c r="J6" s="284"/>
    </row>
    <row r="7" spans="3:9" ht="13.5" customHeight="1">
      <c r="C7" s="285" t="s">
        <v>268</v>
      </c>
      <c r="D7" s="1"/>
      <c r="E7" s="1"/>
      <c r="F7" s="1"/>
      <c r="G7" s="1"/>
      <c r="H7" s="1"/>
      <c r="I7" s="1"/>
    </row>
    <row r="8" spans="2:60" ht="13.5" customHeight="1">
      <c r="B8" s="1"/>
      <c r="D8" s="607">
        <v>39172</v>
      </c>
      <c r="E8" s="593"/>
      <c r="F8" s="593"/>
      <c r="G8" s="286"/>
      <c r="H8"/>
      <c r="I8"/>
      <c r="J8"/>
      <c r="K8" s="70"/>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row>
    <row r="9" spans="2:60" ht="11.25" customHeight="1">
      <c r="B9" s="1"/>
      <c r="C9" s="14" t="s">
        <v>269</v>
      </c>
      <c r="D9" s="398" t="s">
        <v>270</v>
      </c>
      <c r="E9" s="60" t="s">
        <v>346</v>
      </c>
      <c r="F9" s="399" t="s">
        <v>271</v>
      </c>
      <c r="G9" s="1"/>
      <c r="H9" s="258"/>
      <c r="I9" s="258"/>
      <c r="J9" s="258"/>
      <c r="K9" s="287"/>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row>
    <row r="10" spans="3:10" s="1" customFormat="1" ht="11.25" customHeight="1">
      <c r="C10" s="77" t="s">
        <v>272</v>
      </c>
      <c r="D10" s="470">
        <v>5159</v>
      </c>
      <c r="E10" s="470">
        <v>61</v>
      </c>
      <c r="F10" s="400">
        <f aca="true" t="shared" si="0" ref="F10:F17">ROUND(E10/D10,3)</f>
        <v>0.012</v>
      </c>
      <c r="G10" s="474"/>
      <c r="H10"/>
      <c r="I10"/>
      <c r="J10"/>
    </row>
    <row r="11" spans="3:10" s="1" customFormat="1" ht="11.25" customHeight="1">
      <c r="C11" s="77" t="s">
        <v>273</v>
      </c>
      <c r="D11" s="105">
        <v>2102</v>
      </c>
      <c r="E11" s="105">
        <v>52</v>
      </c>
      <c r="F11" s="400">
        <f t="shared" si="0"/>
        <v>0.025</v>
      </c>
      <c r="G11" s="474"/>
      <c r="H11"/>
      <c r="I11"/>
      <c r="J11"/>
    </row>
    <row r="12" spans="3:10" s="1" customFormat="1" ht="11.25" customHeight="1">
      <c r="C12" s="77" t="s">
        <v>274</v>
      </c>
      <c r="D12" s="105">
        <v>519</v>
      </c>
      <c r="E12" s="105">
        <v>50</v>
      </c>
      <c r="F12" s="400">
        <f>ROUND(E12/D12,3)</f>
        <v>0.096</v>
      </c>
      <c r="G12" s="474"/>
      <c r="H12"/>
      <c r="I12"/>
      <c r="J12"/>
    </row>
    <row r="13" spans="3:10" s="1" customFormat="1" ht="11.25" customHeight="1">
      <c r="C13" s="77" t="s">
        <v>275</v>
      </c>
      <c r="D13" s="105">
        <v>579</v>
      </c>
      <c r="E13" s="105">
        <v>3</v>
      </c>
      <c r="F13" s="400">
        <f t="shared" si="0"/>
        <v>0.005</v>
      </c>
      <c r="G13" s="474"/>
      <c r="H13"/>
      <c r="I13"/>
      <c r="J13"/>
    </row>
    <row r="14" spans="3:10" s="1" customFormat="1" ht="11.25" customHeight="1">
      <c r="C14" s="77" t="s">
        <v>276</v>
      </c>
      <c r="D14" s="105">
        <v>220</v>
      </c>
      <c r="E14" s="105">
        <v>1</v>
      </c>
      <c r="F14" s="400">
        <f t="shared" si="0"/>
        <v>0.005</v>
      </c>
      <c r="G14" s="474"/>
      <c r="H14"/>
      <c r="I14"/>
      <c r="J14"/>
    </row>
    <row r="15" spans="3:10" s="1" customFormat="1" ht="11.25" customHeight="1">
      <c r="C15" s="77" t="s">
        <v>277</v>
      </c>
      <c r="D15" s="105">
        <v>1360</v>
      </c>
      <c r="E15" s="105">
        <v>2</v>
      </c>
      <c r="F15" s="400">
        <f t="shared" si="0"/>
        <v>0.001</v>
      </c>
      <c r="G15" s="474"/>
      <c r="H15"/>
      <c r="I15"/>
      <c r="J15"/>
    </row>
    <row r="16" spans="3:10" s="1" customFormat="1" ht="12" customHeight="1">
      <c r="C16" s="23" t="s">
        <v>278</v>
      </c>
      <c r="D16" s="105">
        <f>511-23</f>
        <v>488</v>
      </c>
      <c r="E16" s="105">
        <f>309-23</f>
        <v>286</v>
      </c>
      <c r="F16" s="400">
        <f t="shared" si="0"/>
        <v>0.586</v>
      </c>
      <c r="G16" s="474"/>
      <c r="H16"/>
      <c r="I16"/>
      <c r="J16"/>
    </row>
    <row r="17" spans="3:10" s="1" customFormat="1" ht="11.25" customHeight="1" thickBot="1">
      <c r="C17" s="80" t="s">
        <v>6</v>
      </c>
      <c r="D17" s="401">
        <f>SUM(D10:D16)</f>
        <v>10427</v>
      </c>
      <c r="E17" s="401">
        <f>SUM(E10:E16)</f>
        <v>455</v>
      </c>
      <c r="F17" s="402">
        <f t="shared" si="0"/>
        <v>0.044</v>
      </c>
      <c r="G17" s="475"/>
      <c r="H17"/>
      <c r="I17"/>
      <c r="J17"/>
    </row>
    <row r="18" spans="2:60" ht="6" customHeight="1" thickTop="1">
      <c r="B18" s="1"/>
      <c r="C18" s="80"/>
      <c r="D18" s="290"/>
      <c r="E18" s="290"/>
      <c r="F18" s="291"/>
      <c r="G18" s="1"/>
      <c r="H18" s="1"/>
      <c r="I18" s="1"/>
      <c r="J18" s="38"/>
      <c r="K18" s="292"/>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row>
    <row r="19" spans="2:60" ht="11.25" customHeight="1">
      <c r="B19" s="1"/>
      <c r="C19" s="594" t="s">
        <v>446</v>
      </c>
      <c r="D19" s="595"/>
      <c r="E19" s="595"/>
      <c r="F19" s="595"/>
      <c r="G19" s="595"/>
      <c r="H19" s="596"/>
      <c r="I19" s="596"/>
      <c r="J19" s="596"/>
      <c r="K19" s="292"/>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row>
    <row r="20" spans="2:60" ht="12.75" customHeight="1">
      <c r="B20" s="1"/>
      <c r="C20" s="595"/>
      <c r="D20" s="595"/>
      <c r="E20" s="595"/>
      <c r="F20" s="595"/>
      <c r="G20" s="595"/>
      <c r="H20" s="596"/>
      <c r="I20" s="596"/>
      <c r="J20" s="596"/>
      <c r="K20" s="292"/>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row>
    <row r="21" spans="2:60" ht="5.25" customHeight="1">
      <c r="B21" s="1"/>
      <c r="C21" s="1"/>
      <c r="D21" s="1"/>
      <c r="E21" s="1"/>
      <c r="F21" s="1"/>
      <c r="G21" s="1"/>
      <c r="H21" s="1"/>
      <c r="I21" s="1"/>
      <c r="J21" s="38"/>
      <c r="K21" s="292"/>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row>
    <row r="22" spans="2:11" ht="15.75" customHeight="1">
      <c r="B22" s="1"/>
      <c r="C22" s="293" t="s">
        <v>279</v>
      </c>
      <c r="D22" s="293" t="s">
        <v>280</v>
      </c>
      <c r="E22" s="81"/>
      <c r="F22" s="81"/>
      <c r="G22" s="81"/>
      <c r="J22" s="38"/>
      <c r="K22" s="292"/>
    </row>
    <row r="23" spans="2:11" ht="11.25" customHeight="1">
      <c r="B23" s="1"/>
      <c r="C23" s="77" t="s">
        <v>447</v>
      </c>
      <c r="D23" s="77" t="s">
        <v>448</v>
      </c>
      <c r="E23" s="77"/>
      <c r="F23" s="77"/>
      <c r="G23" s="77" t="s">
        <v>449</v>
      </c>
      <c r="H23" s="77"/>
      <c r="I23" s="77"/>
      <c r="J23" s="77"/>
      <c r="K23" s="292"/>
    </row>
    <row r="24" spans="2:11" ht="11.25" customHeight="1">
      <c r="B24" s="1"/>
      <c r="C24" s="77" t="s">
        <v>492</v>
      </c>
      <c r="D24" s="77" t="s">
        <v>450</v>
      </c>
      <c r="E24" s="77"/>
      <c r="F24" s="77"/>
      <c r="G24" s="77" t="s">
        <v>451</v>
      </c>
      <c r="H24" s="77"/>
      <c r="I24" s="77"/>
      <c r="J24" s="77"/>
      <c r="K24" s="292"/>
    </row>
    <row r="25" spans="2:11" ht="11.25" customHeight="1">
      <c r="B25" s="1"/>
      <c r="C25" s="77" t="s">
        <v>452</v>
      </c>
      <c r="D25" s="77" t="s">
        <v>453</v>
      </c>
      <c r="E25" s="77"/>
      <c r="F25" s="77"/>
      <c r="G25" s="77" t="s">
        <v>454</v>
      </c>
      <c r="H25" s="77"/>
      <c r="I25" s="77"/>
      <c r="J25" s="77"/>
      <c r="K25" s="292"/>
    </row>
    <row r="26" spans="2:11" ht="11.25" customHeight="1">
      <c r="B26" s="1"/>
      <c r="C26" s="77" t="s">
        <v>455</v>
      </c>
      <c r="D26" s="77" t="s">
        <v>456</v>
      </c>
      <c r="E26" s="77"/>
      <c r="F26" s="77"/>
      <c r="G26" s="77" t="s">
        <v>457</v>
      </c>
      <c r="H26" s="77"/>
      <c r="I26" s="77"/>
      <c r="J26" s="77"/>
      <c r="K26" s="292"/>
    </row>
    <row r="27" spans="2:11" ht="11.25" customHeight="1">
      <c r="B27" s="1"/>
      <c r="C27" s="77" t="s">
        <v>458</v>
      </c>
      <c r="D27" s="77" t="s">
        <v>459</v>
      </c>
      <c r="E27" s="77"/>
      <c r="F27" s="77"/>
      <c r="G27" s="77" t="s">
        <v>460</v>
      </c>
      <c r="H27" s="77"/>
      <c r="I27" s="77"/>
      <c r="J27" s="77"/>
      <c r="K27" s="292"/>
    </row>
    <row r="28" spans="2:11" ht="11.25" customHeight="1">
      <c r="B28" s="1"/>
      <c r="C28" s="77" t="s">
        <v>461</v>
      </c>
      <c r="D28" s="77" t="s">
        <v>462</v>
      </c>
      <c r="E28" s="77"/>
      <c r="F28" s="77"/>
      <c r="G28" s="77" t="s">
        <v>463</v>
      </c>
      <c r="H28" s="77"/>
      <c r="I28" s="77"/>
      <c r="J28" s="77"/>
      <c r="K28" s="292"/>
    </row>
    <row r="29" spans="2:11" ht="11.25" customHeight="1">
      <c r="B29" s="1"/>
      <c r="C29" s="77" t="s">
        <v>464</v>
      </c>
      <c r="D29" s="77" t="s">
        <v>465</v>
      </c>
      <c r="E29" s="77"/>
      <c r="F29" s="77"/>
      <c r="G29" s="77" t="s">
        <v>466</v>
      </c>
      <c r="H29" s="77"/>
      <c r="I29" s="77"/>
      <c r="J29" s="77"/>
      <c r="K29" s="32"/>
    </row>
    <row r="30" spans="2:10" ht="11.25" customHeight="1">
      <c r="B30" s="1"/>
      <c r="C30" s="77" t="s">
        <v>467</v>
      </c>
      <c r="D30" s="77" t="s">
        <v>468</v>
      </c>
      <c r="E30" s="77"/>
      <c r="F30" s="77"/>
      <c r="G30" s="77" t="s">
        <v>469</v>
      </c>
      <c r="H30" s="77"/>
      <c r="I30" s="77"/>
      <c r="J30" s="77"/>
    </row>
    <row r="31" spans="2:10" ht="11.25" customHeight="1">
      <c r="B31" s="1"/>
      <c r="C31" s="77" t="s">
        <v>470</v>
      </c>
      <c r="D31" s="77" t="s">
        <v>471</v>
      </c>
      <c r="E31" s="77"/>
      <c r="F31" s="77"/>
      <c r="G31" s="77" t="s">
        <v>472</v>
      </c>
      <c r="H31" s="77"/>
      <c r="I31" s="77"/>
      <c r="J31" s="77"/>
    </row>
    <row r="32" spans="2:10" ht="11.25" customHeight="1">
      <c r="B32" s="1"/>
      <c r="C32" s="77" t="s">
        <v>473</v>
      </c>
      <c r="D32" s="77" t="s">
        <v>474</v>
      </c>
      <c r="E32" s="77"/>
      <c r="F32" s="77"/>
      <c r="G32" s="77" t="s">
        <v>475</v>
      </c>
      <c r="H32" s="77"/>
      <c r="I32" s="77"/>
      <c r="J32" s="77"/>
    </row>
    <row r="33" spans="2:10" ht="11.25" customHeight="1">
      <c r="B33" s="1"/>
      <c r="C33" s="556"/>
      <c r="D33" s="77" t="s">
        <v>476</v>
      </c>
      <c r="E33" s="77"/>
      <c r="F33" s="77"/>
      <c r="G33" s="77" t="s">
        <v>477</v>
      </c>
      <c r="H33" s="77"/>
      <c r="I33" s="77"/>
      <c r="J33" s="77"/>
    </row>
    <row r="34" spans="2:10" ht="11.25" customHeight="1">
      <c r="B34" s="1"/>
      <c r="C34" s="77"/>
      <c r="D34" s="68" t="s">
        <v>478</v>
      </c>
      <c r="E34" s="77"/>
      <c r="F34" s="77"/>
      <c r="G34" s="77" t="s">
        <v>479</v>
      </c>
      <c r="H34" s="77"/>
      <c r="I34" s="77"/>
      <c r="J34" s="77"/>
    </row>
    <row r="35" spans="2:10" ht="11.25" customHeight="1">
      <c r="B35" s="1"/>
      <c r="C35" s="77"/>
      <c r="D35" s="77" t="s">
        <v>480</v>
      </c>
      <c r="E35" s="77"/>
      <c r="F35" s="77"/>
      <c r="G35" s="77" t="s">
        <v>481</v>
      </c>
      <c r="H35" s="77"/>
      <c r="I35" s="77"/>
      <c r="J35" s="77"/>
    </row>
    <row r="36" spans="2:10" ht="11.25" customHeight="1">
      <c r="B36" s="1"/>
      <c r="C36" s="77"/>
      <c r="D36" s="77" t="s">
        <v>482</v>
      </c>
      <c r="E36" s="77"/>
      <c r="F36" s="77"/>
      <c r="G36" s="77" t="s">
        <v>483</v>
      </c>
      <c r="H36" s="77"/>
      <c r="I36" s="77"/>
      <c r="J36" s="77"/>
    </row>
    <row r="37" spans="2:10" ht="11.25" customHeight="1">
      <c r="B37" s="1"/>
      <c r="C37" s="77"/>
      <c r="D37" s="77" t="s">
        <v>502</v>
      </c>
      <c r="E37" s="77"/>
      <c r="F37" s="77"/>
      <c r="G37" s="77" t="s">
        <v>484</v>
      </c>
      <c r="H37" s="77"/>
      <c r="I37" s="77"/>
      <c r="J37" s="77"/>
    </row>
    <row r="38" spans="2:10" s="81" customFormat="1" ht="11.25" customHeight="1">
      <c r="B38" s="7"/>
      <c r="C38" s="77"/>
      <c r="E38" s="77"/>
      <c r="F38" s="77"/>
      <c r="G38" s="68"/>
      <c r="H38" s="77"/>
      <c r="I38" s="77"/>
      <c r="J38" s="77"/>
    </row>
    <row r="39" spans="3:9" ht="11.25">
      <c r="C39" s="296"/>
      <c r="D39" s="556"/>
      <c r="E39" s="556"/>
      <c r="F39" s="556"/>
      <c r="G39" s="81"/>
      <c r="H39" s="77"/>
      <c r="I39" s="77"/>
    </row>
    <row r="40" spans="3:9" ht="11.25">
      <c r="C40" s="296"/>
      <c r="D40" s="77"/>
      <c r="E40" s="77"/>
      <c r="H40" s="77"/>
      <c r="I40" s="77"/>
    </row>
    <row r="41" spans="3:9" ht="11.25">
      <c r="C41" s="296"/>
      <c r="D41" s="77"/>
      <c r="E41" s="77"/>
      <c r="H41" s="77"/>
      <c r="I41" s="77"/>
    </row>
    <row r="42" spans="3:9" ht="11.25">
      <c r="C42" s="296"/>
      <c r="D42" s="77"/>
      <c r="E42" s="77"/>
      <c r="F42" s="77"/>
      <c r="G42" s="77"/>
      <c r="H42" s="77"/>
      <c r="I42" s="77"/>
    </row>
    <row r="43" spans="3:10" ht="22.5" customHeight="1">
      <c r="C43" s="604" t="s">
        <v>513</v>
      </c>
      <c r="D43" s="605"/>
      <c r="E43" s="605"/>
      <c r="F43" s="605"/>
      <c r="G43" s="605"/>
      <c r="H43" s="605"/>
      <c r="I43" s="605"/>
      <c r="J43" s="605"/>
    </row>
    <row r="44" spans="3:10" ht="12.75" customHeight="1">
      <c r="C44" s="604" t="s">
        <v>372</v>
      </c>
      <c r="D44" s="606"/>
      <c r="E44" s="606"/>
      <c r="F44" s="606"/>
      <c r="G44" s="606"/>
      <c r="H44" s="606"/>
      <c r="I44" s="606"/>
      <c r="J44" s="606"/>
    </row>
    <row r="45" spans="3:10" ht="12.75" customHeight="1">
      <c r="C45" s="582"/>
      <c r="D45" s="582"/>
      <c r="E45" s="582"/>
      <c r="F45" s="582"/>
      <c r="G45" s="582"/>
      <c r="H45" s="582"/>
      <c r="I45" s="582"/>
      <c r="J45" s="582"/>
    </row>
    <row r="46" spans="3:9" ht="12.75" customHeight="1">
      <c r="C46" s="1"/>
      <c r="D46" s="1"/>
      <c r="E46" s="1"/>
      <c r="F46" s="1"/>
      <c r="G46" s="1"/>
      <c r="H46" s="1"/>
      <c r="I46" s="1"/>
    </row>
    <row r="47" spans="3:9" ht="12.75" customHeight="1">
      <c r="C47" s="1"/>
      <c r="D47" s="1"/>
      <c r="E47" s="1"/>
      <c r="F47" s="1"/>
      <c r="G47" s="1"/>
      <c r="H47" s="1"/>
      <c r="I47" s="1"/>
    </row>
    <row r="48" spans="3:9" ht="12.75" customHeight="1">
      <c r="C48" s="1"/>
      <c r="D48" s="1"/>
      <c r="E48" s="1"/>
      <c r="F48" s="1"/>
      <c r="G48" s="1"/>
      <c r="H48" s="1"/>
      <c r="I48" s="1"/>
    </row>
    <row r="49" spans="3:7" ht="12.75" customHeight="1">
      <c r="C49" s="1"/>
      <c r="D49" s="1"/>
      <c r="G49" s="1"/>
    </row>
    <row r="50" spans="4:7" ht="12.75" customHeight="1">
      <c r="D50" s="1"/>
      <c r="G50" s="1"/>
    </row>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8">
    <mergeCell ref="C43:J43"/>
    <mergeCell ref="C44:J44"/>
    <mergeCell ref="D8:F8"/>
    <mergeCell ref="C19:J20"/>
    <mergeCell ref="A1:J1"/>
    <mergeCell ref="A2:J2"/>
    <mergeCell ref="A3:J3"/>
    <mergeCell ref="A4:J4"/>
  </mergeCells>
  <printOptions/>
  <pageMargins left="0.5" right="0.5" top="0.5" bottom="0.55" header="0.75" footer="0.3"/>
  <pageSetup horizontalDpi="600" verticalDpi="600" orientation="landscape" r:id="rId2"/>
  <headerFooter alignWithMargins="0">
    <oddFooter>&amp;L&amp;A&amp;R&amp;"Arial,Regular"&amp;8Page 14</oddFooter>
  </headerFooter>
  <drawing r:id="rId1"/>
</worksheet>
</file>

<file path=xl/worksheets/sheet17.xml><?xml version="1.0" encoding="utf-8"?>
<worksheet xmlns="http://schemas.openxmlformats.org/spreadsheetml/2006/main" xmlns:r="http://schemas.openxmlformats.org/officeDocument/2006/relationships">
  <sheetPr codeName="Sheet52"/>
  <dimension ref="A1:BH49"/>
  <sheetViews>
    <sheetView workbookViewId="0" topLeftCell="A1">
      <selection activeCell="A1" sqref="A1:I1"/>
    </sheetView>
  </sheetViews>
  <sheetFormatPr defaultColWidth="9.33203125" defaultRowHeight="12.75"/>
  <cols>
    <col min="1" max="2" width="3.33203125" style="68" customWidth="1"/>
    <col min="3" max="3" width="49.16015625" style="68" customWidth="1"/>
    <col min="4" max="6" width="12.83203125" style="68" customWidth="1"/>
    <col min="7" max="7" width="16.66015625" style="68" customWidth="1"/>
    <col min="8" max="8" width="11.5" style="68" customWidth="1"/>
    <col min="9" max="9" width="15.66015625" style="68" customWidth="1"/>
    <col min="10" max="10" width="3" style="68" customWidth="1"/>
    <col min="11" max="11" width="3.83203125" style="68" customWidth="1"/>
    <col min="12" max="16384" width="10.66015625" style="68" customWidth="1"/>
  </cols>
  <sheetData>
    <row r="1" spans="1:14" ht="14.25" customHeight="1">
      <c r="A1" s="600" t="s">
        <v>89</v>
      </c>
      <c r="B1" s="600"/>
      <c r="C1" s="600"/>
      <c r="D1" s="600"/>
      <c r="E1" s="600"/>
      <c r="F1" s="600"/>
      <c r="G1" s="600"/>
      <c r="H1" s="600"/>
      <c r="I1" s="600"/>
      <c r="J1" s="348"/>
      <c r="K1" s="348"/>
      <c r="L1" s="348"/>
      <c r="M1" s="348"/>
      <c r="N1" s="348"/>
    </row>
    <row r="2" spans="1:14" ht="14.25" customHeight="1">
      <c r="A2" s="603" t="s">
        <v>326</v>
      </c>
      <c r="B2" s="603"/>
      <c r="C2" s="603"/>
      <c r="D2" s="603"/>
      <c r="E2" s="603"/>
      <c r="F2" s="603"/>
      <c r="G2" s="603"/>
      <c r="H2" s="603"/>
      <c r="I2" s="603"/>
      <c r="J2" s="350"/>
      <c r="K2" s="350"/>
      <c r="L2" s="350"/>
      <c r="M2" s="350"/>
      <c r="N2" s="350"/>
    </row>
    <row r="3" spans="1:14" ht="14.25" customHeight="1">
      <c r="A3" s="602" t="s">
        <v>147</v>
      </c>
      <c r="B3" s="602"/>
      <c r="C3" s="602"/>
      <c r="D3" s="602"/>
      <c r="E3" s="602"/>
      <c r="F3" s="602"/>
      <c r="G3" s="602"/>
      <c r="H3" s="602"/>
      <c r="I3" s="602"/>
      <c r="J3" s="351"/>
      <c r="K3" s="351"/>
      <c r="L3" s="351"/>
      <c r="M3" s="351"/>
      <c r="N3" s="351"/>
    </row>
    <row r="4" spans="1:14" ht="14.25" customHeight="1">
      <c r="A4" s="602" t="s">
        <v>163</v>
      </c>
      <c r="B4" s="602"/>
      <c r="C4" s="602"/>
      <c r="D4" s="602"/>
      <c r="E4" s="602"/>
      <c r="F4" s="602"/>
      <c r="G4" s="602"/>
      <c r="H4" s="602"/>
      <c r="I4" s="602"/>
      <c r="J4" s="351"/>
      <c r="K4" s="351"/>
      <c r="L4" s="351"/>
      <c r="M4" s="351"/>
      <c r="N4" s="351"/>
    </row>
    <row r="5" spans="3:10" ht="6" customHeight="1">
      <c r="C5" s="74"/>
      <c r="D5" s="73"/>
      <c r="E5" s="73"/>
      <c r="F5" s="73"/>
      <c r="G5" s="73"/>
      <c r="H5" s="73"/>
      <c r="I5" s="283"/>
      <c r="J5" s="284"/>
    </row>
    <row r="6" spans="3:10" ht="11.25" customHeight="1">
      <c r="C6" s="507"/>
      <c r="D6" s="73"/>
      <c r="E6" s="73"/>
      <c r="F6" s="73"/>
      <c r="G6" s="73"/>
      <c r="H6" s="73"/>
      <c r="I6" s="283"/>
      <c r="J6" s="284"/>
    </row>
    <row r="7" spans="3:9" ht="13.5" customHeight="1">
      <c r="C7" s="285" t="s">
        <v>285</v>
      </c>
      <c r="D7" s="1"/>
      <c r="E7" s="1"/>
      <c r="F7" s="1"/>
      <c r="G7" s="1"/>
      <c r="H7" s="1"/>
      <c r="I7" s="1"/>
    </row>
    <row r="8" spans="2:60" ht="13.5" customHeight="1">
      <c r="B8" s="1"/>
      <c r="D8" s="607">
        <v>39172</v>
      </c>
      <c r="E8" s="593"/>
      <c r="F8" s="593"/>
      <c r="G8" s="286"/>
      <c r="H8"/>
      <c r="I8"/>
      <c r="J8"/>
      <c r="K8" s="70"/>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row>
    <row r="9" spans="2:60" ht="11.25" customHeight="1">
      <c r="B9" s="1"/>
      <c r="C9" s="14" t="s">
        <v>269</v>
      </c>
      <c r="D9" s="398" t="s">
        <v>270</v>
      </c>
      <c r="E9" s="60" t="s">
        <v>346</v>
      </c>
      <c r="F9" s="399" t="s">
        <v>271</v>
      </c>
      <c r="G9" s="1"/>
      <c r="H9"/>
      <c r="I9"/>
      <c r="J9"/>
      <c r="K9" s="287"/>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row>
    <row r="10" spans="3:10" s="1" customFormat="1" ht="11.25" customHeight="1">
      <c r="C10" s="77" t="s">
        <v>272</v>
      </c>
      <c r="D10" s="470">
        <v>7917</v>
      </c>
      <c r="E10" s="470">
        <v>84</v>
      </c>
      <c r="F10" s="400">
        <f aca="true" t="shared" si="0" ref="F10:F17">ROUND(E10/D10,3)</f>
        <v>0.011</v>
      </c>
      <c r="G10" s="288"/>
      <c r="H10"/>
      <c r="I10"/>
      <c r="J10"/>
    </row>
    <row r="11" spans="3:10" s="1" customFormat="1" ht="11.25" customHeight="1">
      <c r="C11" s="77" t="s">
        <v>273</v>
      </c>
      <c r="D11" s="105">
        <v>3289</v>
      </c>
      <c r="E11" s="105">
        <v>155</v>
      </c>
      <c r="F11" s="400">
        <f t="shared" si="0"/>
        <v>0.047</v>
      </c>
      <c r="G11" s="289"/>
      <c r="H11"/>
      <c r="I11"/>
      <c r="J11"/>
    </row>
    <row r="12" spans="3:10" s="1" customFormat="1" ht="11.25" customHeight="1">
      <c r="C12" s="77" t="s">
        <v>274</v>
      </c>
      <c r="D12" s="105">
        <v>714</v>
      </c>
      <c r="E12" s="105">
        <v>77</v>
      </c>
      <c r="F12" s="400">
        <f t="shared" si="0"/>
        <v>0.108</v>
      </c>
      <c r="G12" s="289"/>
      <c r="H12"/>
      <c r="I12"/>
      <c r="J12"/>
    </row>
    <row r="13" spans="3:10" s="1" customFormat="1" ht="11.25" customHeight="1">
      <c r="C13" s="77" t="s">
        <v>275</v>
      </c>
      <c r="D13" s="105">
        <v>588</v>
      </c>
      <c r="E13" s="105">
        <v>3</v>
      </c>
      <c r="F13" s="400">
        <f t="shared" si="0"/>
        <v>0.005</v>
      </c>
      <c r="G13" s="289"/>
      <c r="H13"/>
      <c r="I13"/>
      <c r="J13"/>
    </row>
    <row r="14" spans="3:10" s="1" customFormat="1" ht="11.25" customHeight="1">
      <c r="C14" s="77" t="s">
        <v>276</v>
      </c>
      <c r="D14" s="105">
        <v>522</v>
      </c>
      <c r="E14" s="105">
        <v>2</v>
      </c>
      <c r="F14" s="400">
        <f t="shared" si="0"/>
        <v>0.004</v>
      </c>
      <c r="G14" s="289"/>
      <c r="H14"/>
      <c r="I14"/>
      <c r="J14"/>
    </row>
    <row r="15" spans="3:10" s="1" customFormat="1" ht="11.25" customHeight="1">
      <c r="C15" s="77" t="s">
        <v>277</v>
      </c>
      <c r="D15" s="105">
        <v>1464</v>
      </c>
      <c r="E15" s="105">
        <v>3</v>
      </c>
      <c r="F15" s="400">
        <f>ROUND(E15/D15,3)</f>
        <v>0.002</v>
      </c>
      <c r="G15" s="289"/>
      <c r="H15"/>
      <c r="I15"/>
      <c r="J15"/>
    </row>
    <row r="16" spans="3:10" s="1" customFormat="1" ht="12" customHeight="1">
      <c r="C16" s="23" t="s">
        <v>278</v>
      </c>
      <c r="D16" s="105">
        <v>551</v>
      </c>
      <c r="E16" s="105">
        <v>347</v>
      </c>
      <c r="F16" s="400">
        <f t="shared" si="0"/>
        <v>0.63</v>
      </c>
      <c r="G16" s="289"/>
      <c r="H16"/>
      <c r="I16"/>
      <c r="J16"/>
    </row>
    <row r="17" spans="3:10" s="1" customFormat="1" ht="11.25" customHeight="1" thickBot="1">
      <c r="C17" s="80" t="s">
        <v>6</v>
      </c>
      <c r="D17" s="401">
        <f>SUM(D10:D16)</f>
        <v>15045</v>
      </c>
      <c r="E17" s="401">
        <f>SUM(E10:E16)</f>
        <v>671</v>
      </c>
      <c r="F17" s="402">
        <f t="shared" si="0"/>
        <v>0.045</v>
      </c>
      <c r="H17"/>
      <c r="I17"/>
      <c r="J17"/>
    </row>
    <row r="18" spans="2:60" ht="6" customHeight="1" thickTop="1">
      <c r="B18" s="1"/>
      <c r="C18" s="80"/>
      <c r="D18" s="290"/>
      <c r="E18" s="290"/>
      <c r="F18" s="291"/>
      <c r="G18" s="1"/>
      <c r="H18" s="1"/>
      <c r="I18" s="1"/>
      <c r="J18" s="38"/>
      <c r="K18" s="292"/>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row>
    <row r="19" spans="2:60" ht="11.25" customHeight="1">
      <c r="B19" s="1"/>
      <c r="C19" s="595" t="s">
        <v>485</v>
      </c>
      <c r="D19" s="595"/>
      <c r="E19" s="595"/>
      <c r="F19" s="595"/>
      <c r="G19" s="595"/>
      <c r="H19" s="595"/>
      <c r="I19" s="595"/>
      <c r="J19" s="595"/>
      <c r="K19" s="292"/>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row>
    <row r="20" spans="2:60" ht="12.75" customHeight="1">
      <c r="B20" s="1"/>
      <c r="C20" s="595"/>
      <c r="D20" s="595"/>
      <c r="E20" s="595"/>
      <c r="F20" s="595"/>
      <c r="G20" s="595"/>
      <c r="H20" s="595"/>
      <c r="I20" s="595"/>
      <c r="J20" s="595"/>
      <c r="K20" s="292"/>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row>
    <row r="21" spans="2:60" ht="5.25" customHeight="1">
      <c r="B21" s="1"/>
      <c r="C21" s="1"/>
      <c r="D21" s="1"/>
      <c r="E21" s="1"/>
      <c r="F21" s="1"/>
      <c r="G21" s="1"/>
      <c r="H21" s="1"/>
      <c r="I21" s="1"/>
      <c r="J21" s="38"/>
      <c r="K21" s="292"/>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row>
    <row r="22" spans="2:11" ht="15.75" customHeight="1">
      <c r="B22" s="1"/>
      <c r="C22" s="293" t="s">
        <v>279</v>
      </c>
      <c r="D22" s="293" t="s">
        <v>280</v>
      </c>
      <c r="E22" s="81"/>
      <c r="F22" s="81"/>
      <c r="G22" s="81"/>
      <c r="J22" s="38"/>
      <c r="K22" s="292"/>
    </row>
    <row r="23" spans="2:11" ht="11.25" customHeight="1">
      <c r="B23" s="1"/>
      <c r="C23" s="77" t="s">
        <v>447</v>
      </c>
      <c r="D23" s="557" t="s">
        <v>448</v>
      </c>
      <c r="E23" s="77"/>
      <c r="F23" s="557" t="s">
        <v>474</v>
      </c>
      <c r="G23" s="77"/>
      <c r="H23" s="77" t="s">
        <v>460</v>
      </c>
      <c r="I23" s="77"/>
      <c r="J23" s="77"/>
      <c r="K23" s="77"/>
    </row>
    <row r="24" spans="2:11" ht="11.25" customHeight="1">
      <c r="B24" s="1"/>
      <c r="C24" s="77" t="s">
        <v>452</v>
      </c>
      <c r="D24" s="557" t="s">
        <v>450</v>
      </c>
      <c r="E24" s="77"/>
      <c r="F24" s="557" t="s">
        <v>476</v>
      </c>
      <c r="G24" s="77"/>
      <c r="H24" s="77" t="s">
        <v>486</v>
      </c>
      <c r="I24" s="77"/>
      <c r="J24" s="77"/>
      <c r="K24" s="77"/>
    </row>
    <row r="25" spans="2:11" ht="11.25" customHeight="1">
      <c r="B25" s="1"/>
      <c r="C25" s="77" t="s">
        <v>455</v>
      </c>
      <c r="D25" s="557" t="s">
        <v>453</v>
      </c>
      <c r="E25" s="77"/>
      <c r="F25" s="557" t="s">
        <v>487</v>
      </c>
      <c r="G25" s="77"/>
      <c r="H25" s="77" t="s">
        <v>466</v>
      </c>
      <c r="I25" s="77"/>
      <c r="J25" s="77"/>
      <c r="K25" s="77"/>
    </row>
    <row r="26" spans="2:11" ht="11.25" customHeight="1">
      <c r="B26" s="1"/>
      <c r="C26" s="77" t="s">
        <v>488</v>
      </c>
      <c r="D26" s="557" t="s">
        <v>456</v>
      </c>
      <c r="E26" s="77"/>
      <c r="F26" s="557" t="s">
        <v>489</v>
      </c>
      <c r="G26" s="77"/>
      <c r="H26" s="77" t="s">
        <v>469</v>
      </c>
      <c r="I26" s="77"/>
      <c r="J26" s="77"/>
      <c r="K26" s="77"/>
    </row>
    <row r="27" spans="2:11" ht="11.25" customHeight="1">
      <c r="B27" s="1"/>
      <c r="C27" s="77" t="s">
        <v>478</v>
      </c>
      <c r="D27" s="557" t="s">
        <v>490</v>
      </c>
      <c r="E27" s="77"/>
      <c r="F27" s="557" t="s">
        <v>480</v>
      </c>
      <c r="G27" s="77"/>
      <c r="H27" s="77" t="s">
        <v>472</v>
      </c>
      <c r="I27" s="77"/>
      <c r="J27" s="77"/>
      <c r="K27" s="77"/>
    </row>
    <row r="28" spans="2:11" ht="11.25" customHeight="1">
      <c r="B28" s="1"/>
      <c r="C28" s="77" t="s">
        <v>458</v>
      </c>
      <c r="D28" s="557" t="s">
        <v>459</v>
      </c>
      <c r="E28" s="77"/>
      <c r="F28" s="557" t="s">
        <v>491</v>
      </c>
      <c r="G28" s="77"/>
      <c r="H28" s="77" t="s">
        <v>475</v>
      </c>
      <c r="I28" s="77"/>
      <c r="J28" s="77"/>
      <c r="K28" s="77"/>
    </row>
    <row r="29" spans="2:11" ht="11.25" customHeight="1">
      <c r="B29" s="1"/>
      <c r="C29" s="77" t="s">
        <v>461</v>
      </c>
      <c r="D29" s="557" t="s">
        <v>492</v>
      </c>
      <c r="E29" s="77"/>
      <c r="F29" s="557" t="s">
        <v>493</v>
      </c>
      <c r="G29" s="77"/>
      <c r="H29" s="77" t="s">
        <v>477</v>
      </c>
      <c r="I29" s="77"/>
      <c r="J29" s="77"/>
      <c r="K29" s="77"/>
    </row>
    <row r="30" spans="2:11" ht="11.25" customHeight="1">
      <c r="B30" s="1"/>
      <c r="C30" s="77" t="s">
        <v>464</v>
      </c>
      <c r="D30" s="557" t="s">
        <v>494</v>
      </c>
      <c r="E30" s="77"/>
      <c r="F30" s="557" t="s">
        <v>495</v>
      </c>
      <c r="G30" s="77"/>
      <c r="H30" s="77" t="s">
        <v>479</v>
      </c>
      <c r="I30" s="77"/>
      <c r="J30" s="77"/>
      <c r="K30" s="77"/>
    </row>
    <row r="31" spans="2:11" ht="11.25" customHeight="1">
      <c r="B31" s="1"/>
      <c r="C31" s="77" t="s">
        <v>467</v>
      </c>
      <c r="D31" s="557" t="s">
        <v>462</v>
      </c>
      <c r="E31" s="77"/>
      <c r="F31" s="557" t="s">
        <v>482</v>
      </c>
      <c r="G31" s="77"/>
      <c r="H31" s="77" t="s">
        <v>496</v>
      </c>
      <c r="I31" s="77"/>
      <c r="J31" s="77"/>
      <c r="K31" s="77"/>
    </row>
    <row r="32" spans="2:11" ht="11.25" customHeight="1">
      <c r="B32" s="1"/>
      <c r="C32" s="77" t="s">
        <v>473</v>
      </c>
      <c r="D32" s="557" t="s">
        <v>465</v>
      </c>
      <c r="E32" s="77"/>
      <c r="F32" s="557" t="s">
        <v>502</v>
      </c>
      <c r="G32" s="77"/>
      <c r="H32" s="77" t="s">
        <v>497</v>
      </c>
      <c r="I32" s="77"/>
      <c r="J32" s="77"/>
      <c r="K32" s="77"/>
    </row>
    <row r="33" spans="2:11" ht="11.25" customHeight="1">
      <c r="B33" s="1"/>
      <c r="C33" s="77"/>
      <c r="D33" s="557" t="s">
        <v>498</v>
      </c>
      <c r="E33" s="77"/>
      <c r="F33" s="557" t="s">
        <v>449</v>
      </c>
      <c r="G33" s="77"/>
      <c r="H33" s="77" t="s">
        <v>483</v>
      </c>
      <c r="I33" s="77"/>
      <c r="J33" s="77"/>
      <c r="K33" s="77"/>
    </row>
    <row r="34" spans="2:11" ht="11.25" customHeight="1">
      <c r="B34" s="1"/>
      <c r="C34" s="77"/>
      <c r="D34" s="557" t="s">
        <v>468</v>
      </c>
      <c r="E34" s="77"/>
      <c r="F34" s="557" t="s">
        <v>451</v>
      </c>
      <c r="G34" s="77"/>
      <c r="H34" s="77" t="s">
        <v>470</v>
      </c>
      <c r="I34" s="77"/>
      <c r="J34" s="77"/>
      <c r="K34" s="77"/>
    </row>
    <row r="35" spans="2:11" ht="11.25" customHeight="1">
      <c r="B35" s="1"/>
      <c r="C35" s="77"/>
      <c r="D35" s="557" t="s">
        <v>499</v>
      </c>
      <c r="E35" s="77"/>
      <c r="F35" s="557" t="s">
        <v>500</v>
      </c>
      <c r="G35" s="77"/>
      <c r="H35" s="77" t="s">
        <v>484</v>
      </c>
      <c r="I35" s="77"/>
      <c r="J35" s="77"/>
      <c r="K35" s="77"/>
    </row>
    <row r="36" spans="2:11" ht="11.25" customHeight="1">
      <c r="B36" s="1"/>
      <c r="C36" s="77"/>
      <c r="D36" s="557" t="s">
        <v>471</v>
      </c>
      <c r="E36" s="77"/>
      <c r="F36" s="557" t="s">
        <v>454</v>
      </c>
      <c r="G36" s="77"/>
      <c r="H36" s="77"/>
      <c r="I36" s="77"/>
      <c r="J36" s="77"/>
      <c r="K36" s="77"/>
    </row>
    <row r="37" spans="2:11" ht="11.25" customHeight="1">
      <c r="B37" s="1"/>
      <c r="C37" s="77"/>
      <c r="D37" s="557" t="s">
        <v>501</v>
      </c>
      <c r="E37" s="77"/>
      <c r="F37" s="557" t="s">
        <v>457</v>
      </c>
      <c r="G37" s="77"/>
      <c r="I37" s="77"/>
      <c r="J37" s="77"/>
      <c r="K37" s="77"/>
    </row>
    <row r="38" spans="2:11" ht="11.25" customHeight="1">
      <c r="B38" s="1"/>
      <c r="C38" s="77"/>
      <c r="D38" s="77"/>
      <c r="E38" s="77"/>
      <c r="G38" s="77"/>
      <c r="I38" s="77"/>
      <c r="J38" s="77"/>
      <c r="K38" s="77"/>
    </row>
    <row r="39" spans="2:11" ht="11.25" customHeight="1">
      <c r="B39" s="1"/>
      <c r="C39" s="77"/>
      <c r="D39" s="77"/>
      <c r="E39" s="77"/>
      <c r="F39" s="557"/>
      <c r="G39" s="77"/>
      <c r="I39" s="77"/>
      <c r="J39" s="77"/>
      <c r="K39" s="77"/>
    </row>
    <row r="40" spans="2:11" ht="11.25" customHeight="1">
      <c r="B40" s="1"/>
      <c r="C40" s="77"/>
      <c r="D40" s="77"/>
      <c r="E40" s="77"/>
      <c r="F40" s="77"/>
      <c r="G40" s="77"/>
      <c r="H40" s="77"/>
      <c r="I40" s="77"/>
      <c r="J40" s="77"/>
      <c r="K40" s="77"/>
    </row>
    <row r="41" spans="2:10" s="81" customFormat="1" ht="11.25" customHeight="1">
      <c r="B41" s="7"/>
      <c r="C41" s="294"/>
      <c r="D41" s="469"/>
      <c r="E41" s="469"/>
      <c r="F41" s="77"/>
      <c r="G41" s="469"/>
      <c r="H41" s="469"/>
      <c r="I41" s="295"/>
      <c r="J41" s="38"/>
    </row>
    <row r="42" spans="3:10" ht="20.25" customHeight="1">
      <c r="C42" s="604" t="s">
        <v>513</v>
      </c>
      <c r="D42" s="605"/>
      <c r="E42" s="605"/>
      <c r="F42" s="605"/>
      <c r="G42" s="605"/>
      <c r="H42" s="605"/>
      <c r="I42" s="605"/>
      <c r="J42" s="605"/>
    </row>
    <row r="43" spans="3:10" ht="12.75" customHeight="1">
      <c r="C43" s="597" t="s">
        <v>315</v>
      </c>
      <c r="D43" s="633"/>
      <c r="E43" s="633"/>
      <c r="F43" s="633"/>
      <c r="G43" s="633"/>
      <c r="H43" s="633"/>
      <c r="I43" s="633"/>
      <c r="J43" s="584"/>
    </row>
    <row r="44" spans="3:10" ht="12.75" customHeight="1">
      <c r="C44" s="582"/>
      <c r="D44" s="582"/>
      <c r="E44" s="582"/>
      <c r="F44" s="584"/>
      <c r="G44" s="582"/>
      <c r="H44" s="582"/>
      <c r="I44" s="582"/>
      <c r="J44" s="582"/>
    </row>
    <row r="45" spans="3:9" ht="12.75" customHeight="1">
      <c r="C45" s="1"/>
      <c r="D45" s="1"/>
      <c r="E45" s="1"/>
      <c r="F45" s="1"/>
      <c r="G45" s="1"/>
      <c r="H45" s="1"/>
      <c r="I45" s="1"/>
    </row>
    <row r="46" spans="3:9" ht="12.75" customHeight="1">
      <c r="C46" s="1"/>
      <c r="D46" s="1"/>
      <c r="E46" s="1"/>
      <c r="F46" s="1"/>
      <c r="G46" s="1"/>
      <c r="H46" s="1"/>
      <c r="I46" s="1"/>
    </row>
    <row r="47" spans="3:9" ht="12.75" customHeight="1">
      <c r="C47" s="1"/>
      <c r="D47" s="1"/>
      <c r="E47" s="1"/>
      <c r="F47" s="1"/>
      <c r="G47" s="1"/>
      <c r="H47" s="1"/>
      <c r="I47" s="1"/>
    </row>
    <row r="48" spans="3:7" ht="12.75" customHeight="1">
      <c r="C48" s="1"/>
      <c r="D48" s="1"/>
      <c r="G48" s="1"/>
    </row>
    <row r="49" spans="4:7" ht="12.75" customHeight="1">
      <c r="D49" s="1"/>
      <c r="G49" s="1"/>
    </row>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8">
    <mergeCell ref="D8:F8"/>
    <mergeCell ref="C19:J20"/>
    <mergeCell ref="C43:I43"/>
    <mergeCell ref="C42:J42"/>
    <mergeCell ref="A1:I1"/>
    <mergeCell ref="A2:I2"/>
    <mergeCell ref="A3:I3"/>
    <mergeCell ref="A4:I4"/>
  </mergeCells>
  <printOptions/>
  <pageMargins left="0.5" right="0.5" top="0.5" bottom="0.55" header="0.75" footer="0.3"/>
  <pageSetup horizontalDpi="600" verticalDpi="600" orientation="landscape" r:id="rId2"/>
  <headerFooter alignWithMargins="0">
    <oddFooter>&amp;L&amp;A&amp;R&amp;"Arial,Regular"&amp;8Page 15</oddFooter>
  </headerFooter>
  <drawing r:id="rId1"/>
</worksheet>
</file>

<file path=xl/worksheets/sheet18.xml><?xml version="1.0" encoding="utf-8"?>
<worksheet xmlns="http://schemas.openxmlformats.org/spreadsheetml/2006/main" xmlns:r="http://schemas.openxmlformats.org/officeDocument/2006/relationships">
  <sheetPr codeName="Sheet53"/>
  <dimension ref="A1:BM35"/>
  <sheetViews>
    <sheetView workbookViewId="0" topLeftCell="A1">
      <selection activeCell="A1" sqref="A1:N1"/>
    </sheetView>
  </sheetViews>
  <sheetFormatPr defaultColWidth="9.33203125" defaultRowHeight="12.75"/>
  <cols>
    <col min="1" max="2" width="3.33203125" style="68" customWidth="1"/>
    <col min="3" max="3" width="44.33203125" style="68" customWidth="1"/>
    <col min="4" max="4" width="12.33203125" style="68" customWidth="1"/>
    <col min="5" max="5" width="5.33203125" style="68" customWidth="1"/>
    <col min="6" max="6" width="12.33203125" style="68" customWidth="1"/>
    <col min="7" max="7" width="5.33203125" style="68" customWidth="1"/>
    <col min="8" max="8" width="12.33203125" style="68" customWidth="1"/>
    <col min="9" max="10" width="8.66015625" style="68" customWidth="1"/>
    <col min="11" max="11" width="2.83203125" style="68" customWidth="1"/>
    <col min="12" max="16" width="11.33203125" style="68" customWidth="1"/>
    <col min="17" max="17" width="4" style="68" customWidth="1"/>
    <col min="18" max="19" width="11.33203125" style="68" customWidth="1"/>
    <col min="20" max="16384" width="10.66015625" style="68" customWidth="1"/>
  </cols>
  <sheetData>
    <row r="1" spans="1:19" ht="14.25" customHeight="1">
      <c r="A1" s="600" t="s">
        <v>89</v>
      </c>
      <c r="B1" s="600"/>
      <c r="C1" s="600"/>
      <c r="D1" s="600"/>
      <c r="E1" s="600"/>
      <c r="F1" s="600"/>
      <c r="G1" s="600"/>
      <c r="H1" s="600"/>
      <c r="I1" s="600"/>
      <c r="J1" s="600"/>
      <c r="K1" s="600"/>
      <c r="L1" s="600"/>
      <c r="M1" s="600"/>
      <c r="N1" s="600"/>
      <c r="O1" s="348"/>
      <c r="P1" s="348"/>
      <c r="Q1" s="280"/>
      <c r="R1" s="280"/>
      <c r="S1" s="280"/>
    </row>
    <row r="2" spans="1:19" ht="11.25" customHeight="1">
      <c r="A2" s="603" t="s">
        <v>328</v>
      </c>
      <c r="B2" s="603"/>
      <c r="C2" s="603"/>
      <c r="D2" s="603"/>
      <c r="E2" s="603"/>
      <c r="F2" s="603"/>
      <c r="G2" s="603"/>
      <c r="H2" s="603"/>
      <c r="I2" s="603"/>
      <c r="J2" s="603"/>
      <c r="K2" s="603"/>
      <c r="L2" s="603"/>
      <c r="M2" s="603"/>
      <c r="N2" s="603"/>
      <c r="O2" s="350"/>
      <c r="P2" s="350"/>
      <c r="Q2" s="282"/>
      <c r="R2" s="282"/>
      <c r="S2" s="282"/>
    </row>
    <row r="3" spans="1:19" ht="11.25" customHeight="1">
      <c r="A3" s="602" t="s">
        <v>147</v>
      </c>
      <c r="B3" s="602"/>
      <c r="C3" s="602"/>
      <c r="D3" s="602"/>
      <c r="E3" s="602"/>
      <c r="F3" s="602"/>
      <c r="G3" s="602"/>
      <c r="H3" s="602"/>
      <c r="I3" s="602"/>
      <c r="J3" s="602"/>
      <c r="K3" s="602"/>
      <c r="L3" s="602"/>
      <c r="M3" s="602"/>
      <c r="N3" s="602"/>
      <c r="O3" s="351"/>
      <c r="P3" s="351"/>
      <c r="Q3" s="281"/>
      <c r="R3" s="281"/>
      <c r="S3" s="281"/>
    </row>
    <row r="4" spans="1:19" ht="11.25" customHeight="1">
      <c r="A4" s="602" t="s">
        <v>163</v>
      </c>
      <c r="B4" s="602"/>
      <c r="C4" s="602"/>
      <c r="D4" s="602"/>
      <c r="E4" s="602"/>
      <c r="F4" s="602"/>
      <c r="G4" s="602"/>
      <c r="H4" s="602"/>
      <c r="I4" s="602"/>
      <c r="J4" s="602"/>
      <c r="K4" s="602"/>
      <c r="L4" s="602"/>
      <c r="M4" s="602"/>
      <c r="N4" s="602"/>
      <c r="O4" s="351"/>
      <c r="P4" s="351"/>
      <c r="Q4" s="281"/>
      <c r="R4" s="281"/>
      <c r="S4" s="281"/>
    </row>
    <row r="5" spans="3:65" ht="6" customHeight="1">
      <c r="C5" s="297"/>
      <c r="D5" s="297"/>
      <c r="E5" s="297"/>
      <c r="F5" s="297"/>
      <c r="G5" s="297"/>
      <c r="H5" s="297"/>
      <c r="I5" s="297"/>
      <c r="J5" s="297"/>
      <c r="K5" s="297"/>
      <c r="L5" s="298"/>
      <c r="M5" s="298"/>
      <c r="N5" s="70"/>
      <c r="O5" s="70"/>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row>
    <row r="6" spans="3:65" ht="11.25" customHeight="1">
      <c r="C6" s="507"/>
      <c r="D6" s="297"/>
      <c r="E6" s="297"/>
      <c r="F6" s="297"/>
      <c r="G6" s="297"/>
      <c r="H6" s="297"/>
      <c r="I6" s="297"/>
      <c r="J6" s="297"/>
      <c r="K6" s="297"/>
      <c r="L6" s="298"/>
      <c r="M6" s="298"/>
      <c r="N6" s="70"/>
      <c r="O6" s="70"/>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row>
    <row r="7" spans="3:62" ht="12.75" customHeight="1">
      <c r="C7" s="299" t="s">
        <v>281</v>
      </c>
      <c r="D7" s="299"/>
      <c r="E7" s="299"/>
      <c r="F7" s="299"/>
      <c r="G7" s="299"/>
      <c r="H7" s="299"/>
      <c r="I7" s="299"/>
      <c r="J7" s="299"/>
      <c r="K7" s="299"/>
      <c r="L7" s="42"/>
      <c r="M7" s="42"/>
      <c r="N7" s="301"/>
      <c r="O7" s="301"/>
      <c r="P7" s="301"/>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row>
    <row r="8" spans="3:62" ht="4.5" customHeight="1">
      <c r="C8" s="302"/>
      <c r="D8" s="302"/>
      <c r="E8" s="302"/>
      <c r="F8" s="302"/>
      <c r="G8" s="302"/>
      <c r="H8" s="302"/>
      <c r="I8" s="302"/>
      <c r="J8" s="302"/>
      <c r="K8"/>
      <c r="L8"/>
      <c r="M8"/>
      <c r="N8"/>
      <c r="O8"/>
      <c r="P8"/>
      <c r="Q8"/>
      <c r="R8"/>
      <c r="S8"/>
      <c r="T8"/>
      <c r="U8"/>
      <c r="V8"/>
      <c r="W8"/>
      <c r="X8"/>
      <c r="Y8"/>
      <c r="Z8"/>
      <c r="AA8"/>
      <c r="AB8"/>
      <c r="AC8"/>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row>
    <row r="9" spans="3:62" ht="21.75" customHeight="1">
      <c r="C9" s="507"/>
      <c r="D9" s="303" t="s">
        <v>282</v>
      </c>
      <c r="E9" s="304"/>
      <c r="F9" s="305" t="s">
        <v>283</v>
      </c>
      <c r="G9" s="303"/>
      <c r="H9" s="305" t="s">
        <v>117</v>
      </c>
      <c r="I9" s="1"/>
      <c r="J9" s="7"/>
      <c r="K9"/>
      <c r="L9"/>
      <c r="M9"/>
      <c r="N9"/>
      <c r="O9"/>
      <c r="P9"/>
      <c r="Q9"/>
      <c r="R9"/>
      <c r="S9"/>
      <c r="T9"/>
      <c r="U9"/>
      <c r="V9"/>
      <c r="W9"/>
      <c r="X9"/>
      <c r="Y9"/>
      <c r="Z9"/>
      <c r="AA9"/>
      <c r="AB9"/>
      <c r="AC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row>
    <row r="10" spans="3:62" ht="6.75" customHeight="1">
      <c r="C10" s="84"/>
      <c r="D10" s="17"/>
      <c r="E10" s="34"/>
      <c r="F10" s="17"/>
      <c r="G10" s="306"/>
      <c r="H10" s="17"/>
      <c r="I10"/>
      <c r="J10"/>
      <c r="K10"/>
      <c r="L10" s="33"/>
      <c r="M10" s="34"/>
      <c r="N10" s="34"/>
      <c r="O10" s="301"/>
      <c r="P10" s="301"/>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row>
    <row r="11" spans="3:62" ht="12.75" customHeight="1">
      <c r="C11" s="302"/>
      <c r="D11" s="122"/>
      <c r="E11" s="308"/>
      <c r="F11" s="122"/>
      <c r="G11" s="309"/>
      <c r="H11" s="122"/>
      <c r="I11" s="310"/>
      <c r="J11" s="310"/>
      <c r="K11" s="62"/>
      <c r="Q11" s="52"/>
      <c r="R11" s="52"/>
      <c r="S11" s="52"/>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row>
    <row r="12" spans="3:62" ht="12.75" customHeight="1">
      <c r="C12" s="302" t="s">
        <v>363</v>
      </c>
      <c r="D12" s="311">
        <v>932</v>
      </c>
      <c r="E12" s="312"/>
      <c r="F12" s="311">
        <v>384</v>
      </c>
      <c r="G12" s="313"/>
      <c r="H12" s="311">
        <f>+D12+F12</f>
        <v>1316</v>
      </c>
      <c r="I12" s="314"/>
      <c r="J12" s="315"/>
      <c r="K12" s="316"/>
      <c r="L12" s="52"/>
      <c r="M12" s="52"/>
      <c r="Q12" s="52"/>
      <c r="R12" s="52"/>
      <c r="S12" s="52"/>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row>
    <row r="13" spans="3:62" ht="11.25" customHeight="1">
      <c r="C13" s="317" t="s">
        <v>364</v>
      </c>
      <c r="D13" s="53">
        <v>53</v>
      </c>
      <c r="E13" s="105"/>
      <c r="F13" s="53">
        <v>202</v>
      </c>
      <c r="G13" s="53"/>
      <c r="H13" s="53">
        <f>SUM(D13:F13)</f>
        <v>255</v>
      </c>
      <c r="I13" s="316"/>
      <c r="J13" s="315"/>
      <c r="K13" s="316"/>
      <c r="L13" s="52"/>
      <c r="M13" s="52"/>
      <c r="Q13" s="52"/>
      <c r="R13" s="52"/>
      <c r="S13" s="52"/>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row>
    <row r="14" spans="3:62" ht="11.25" customHeight="1">
      <c r="C14" s="317" t="s">
        <v>284</v>
      </c>
      <c r="D14" s="17">
        <f>+D13/D12</f>
        <v>0.05686695278969957</v>
      </c>
      <c r="E14" s="34"/>
      <c r="F14" s="17">
        <f>+F13/F12</f>
        <v>0.5260416666666666</v>
      </c>
      <c r="G14" s="318"/>
      <c r="H14" s="17">
        <f>+H13/H12</f>
        <v>0.19376899696048633</v>
      </c>
      <c r="I14" s="310"/>
      <c r="J14" s="310"/>
      <c r="K14" s="62"/>
      <c r="Q14" s="52"/>
      <c r="R14" s="52"/>
      <c r="S14" s="52"/>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row>
    <row r="15" spans="3:62" ht="16.5" customHeight="1" thickBot="1">
      <c r="C15" s="302" t="s">
        <v>379</v>
      </c>
      <c r="D15" s="319">
        <f>+D12-D13</f>
        <v>879</v>
      </c>
      <c r="E15" s="320"/>
      <c r="F15" s="319">
        <f>+F12-F13</f>
        <v>182</v>
      </c>
      <c r="G15" s="321"/>
      <c r="H15" s="319">
        <f>+D15+F15</f>
        <v>1061</v>
      </c>
      <c r="I15" s="310"/>
      <c r="J15" s="310"/>
      <c r="K15" s="62"/>
      <c r="Q15" s="52"/>
      <c r="R15" s="52"/>
      <c r="S15" s="52"/>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row>
    <row r="16" spans="3:62" ht="12" customHeight="1" thickTop="1">
      <c r="C16" s="302"/>
      <c r="D16" s="307"/>
      <c r="E16" s="308"/>
      <c r="F16" s="307"/>
      <c r="G16" s="309"/>
      <c r="H16" s="307"/>
      <c r="I16" s="310"/>
      <c r="J16" s="310"/>
      <c r="K16" s="62"/>
      <c r="Q16" s="52"/>
      <c r="R16" s="52"/>
      <c r="S16" s="52"/>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row>
    <row r="17" spans="3:62" ht="13.5" customHeight="1">
      <c r="C17" s="302" t="s">
        <v>377</v>
      </c>
      <c r="D17" s="311">
        <v>933</v>
      </c>
      <c r="E17" s="312"/>
      <c r="F17" s="311">
        <v>290</v>
      </c>
      <c r="G17" s="313"/>
      <c r="H17" s="311">
        <f>+D17+F17</f>
        <v>1223</v>
      </c>
      <c r="I17" s="310"/>
      <c r="J17" s="310"/>
      <c r="K17" s="62"/>
      <c r="Q17" s="52"/>
      <c r="R17" s="52"/>
      <c r="S17" s="52"/>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row>
    <row r="18" spans="3:62" ht="12.75" customHeight="1">
      <c r="C18" s="317" t="s">
        <v>378</v>
      </c>
      <c r="D18" s="53">
        <v>57</v>
      </c>
      <c r="E18" s="105"/>
      <c r="F18" s="53">
        <v>215</v>
      </c>
      <c r="G18" s="53"/>
      <c r="H18" s="53">
        <f>SUM(D18:F18)</f>
        <v>272</v>
      </c>
      <c r="I18" s="310"/>
      <c r="J18" s="310"/>
      <c r="K18" s="62"/>
      <c r="Q18" s="52"/>
      <c r="R18" s="52"/>
      <c r="S18" s="52"/>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row>
    <row r="19" spans="3:62" ht="14.25" customHeight="1">
      <c r="C19" s="317" t="s">
        <v>284</v>
      </c>
      <c r="D19" s="17">
        <f>+D18/D17</f>
        <v>0.06109324758842444</v>
      </c>
      <c r="E19" s="34"/>
      <c r="F19" s="17">
        <f>+F18/F17</f>
        <v>0.7413793103448276</v>
      </c>
      <c r="G19" s="318"/>
      <c r="H19" s="17">
        <f>+H18/H17</f>
        <v>0.2224039247751431</v>
      </c>
      <c r="I19" s="310"/>
      <c r="J19" s="310"/>
      <c r="K19" s="62"/>
      <c r="Q19" s="52"/>
      <c r="R19" s="52"/>
      <c r="S19" s="52"/>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row>
    <row r="20" spans="3:62" ht="16.5" customHeight="1" thickBot="1">
      <c r="C20" s="302" t="s">
        <v>512</v>
      </c>
      <c r="D20" s="319">
        <f>+D17-D18</f>
        <v>876</v>
      </c>
      <c r="E20" s="320"/>
      <c r="F20" s="319">
        <f>+F17-F18</f>
        <v>75</v>
      </c>
      <c r="G20" s="321"/>
      <c r="H20" s="319">
        <f>+D20+F20</f>
        <v>951</v>
      </c>
      <c r="I20" s="310"/>
      <c r="J20" s="310"/>
      <c r="K20" s="62"/>
      <c r="Q20" s="52"/>
      <c r="R20" s="52"/>
      <c r="S20" s="52"/>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row>
    <row r="21" spans="3:62" ht="12" customHeight="1" thickTop="1">
      <c r="C21" s="302"/>
      <c r="D21" s="307"/>
      <c r="E21" s="308"/>
      <c r="F21" s="307"/>
      <c r="G21" s="309"/>
      <c r="H21" s="307"/>
      <c r="I21" s="310"/>
      <c r="J21" s="310"/>
      <c r="K21" s="62"/>
      <c r="Q21" s="52"/>
      <c r="R21" s="52"/>
      <c r="S21" s="52"/>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row>
    <row r="22" spans="3:62" ht="13.5" customHeight="1">
      <c r="C22" s="302" t="s">
        <v>431</v>
      </c>
      <c r="D22" s="311">
        <v>850</v>
      </c>
      <c r="E22" s="312"/>
      <c r="F22" s="311">
        <v>264</v>
      </c>
      <c r="G22" s="313"/>
      <c r="H22" s="311">
        <f>+D22+F22</f>
        <v>1114</v>
      </c>
      <c r="I22" s="310"/>
      <c r="J22" s="310"/>
      <c r="K22" s="62"/>
      <c r="Q22" s="52"/>
      <c r="R22" s="52"/>
      <c r="S22" s="52"/>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row>
    <row r="23" spans="3:62" ht="12.75" customHeight="1">
      <c r="C23" s="317" t="s">
        <v>433</v>
      </c>
      <c r="D23" s="53">
        <v>46</v>
      </c>
      <c r="E23" s="105"/>
      <c r="F23" s="53">
        <v>173</v>
      </c>
      <c r="G23" s="53"/>
      <c r="H23" s="53">
        <f>SUM(D23:F23)</f>
        <v>219</v>
      </c>
      <c r="I23" s="310"/>
      <c r="J23" s="310"/>
      <c r="K23" s="62"/>
      <c r="Q23" s="52"/>
      <c r="R23" s="52"/>
      <c r="S23" s="52"/>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row>
    <row r="24" spans="3:62" ht="14.25" customHeight="1">
      <c r="C24" s="317" t="s">
        <v>284</v>
      </c>
      <c r="D24" s="17">
        <f>+D23/D22</f>
        <v>0.05411764705882353</v>
      </c>
      <c r="E24" s="34"/>
      <c r="F24" s="17">
        <f>+F23/F22</f>
        <v>0.6553030303030303</v>
      </c>
      <c r="G24" s="318"/>
      <c r="H24" s="17">
        <f>+H23/H22</f>
        <v>0.19658886894075403</v>
      </c>
      <c r="I24" s="310"/>
      <c r="J24" s="310"/>
      <c r="K24" s="62"/>
      <c r="Q24" s="52"/>
      <c r="R24" s="52"/>
      <c r="S24" s="52"/>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row>
    <row r="25" spans="3:62" ht="16.5" customHeight="1" thickBot="1">
      <c r="C25" s="302" t="s">
        <v>432</v>
      </c>
      <c r="D25" s="319">
        <f>+D22-D23</f>
        <v>804</v>
      </c>
      <c r="E25" s="320"/>
      <c r="F25" s="319">
        <f>+F22-F23</f>
        <v>91</v>
      </c>
      <c r="G25" s="321"/>
      <c r="H25" s="319">
        <f>+D25+F25</f>
        <v>895</v>
      </c>
      <c r="I25" s="310"/>
      <c r="J25" s="310"/>
      <c r="K25" s="62"/>
      <c r="Q25" s="52"/>
      <c r="R25" s="52"/>
      <c r="S25" s="52"/>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row>
    <row r="26" spans="3:62" ht="8.25" customHeight="1" thickTop="1">
      <c r="C26" s="302"/>
      <c r="D26" s="307"/>
      <c r="E26" s="308"/>
      <c r="F26" s="307"/>
      <c r="G26" s="309"/>
      <c r="H26" s="307"/>
      <c r="I26" s="310"/>
      <c r="J26" s="310"/>
      <c r="K26" s="62"/>
      <c r="Q26" s="52"/>
      <c r="R26" s="52"/>
      <c r="S26" s="52"/>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row>
    <row r="27" spans="3:62" ht="16.5" customHeight="1">
      <c r="C27" s="636" t="s">
        <v>373</v>
      </c>
      <c r="D27" s="637"/>
      <c r="E27" s="637"/>
      <c r="F27" s="637"/>
      <c r="G27" s="637"/>
      <c r="H27" s="637"/>
      <c r="I27" s="637"/>
      <c r="J27" s="637"/>
      <c r="K27" s="322"/>
      <c r="L27" s="323"/>
      <c r="M27" s="323"/>
      <c r="N27" s="323"/>
      <c r="O27" s="323"/>
      <c r="P27" s="323"/>
      <c r="Q27" s="324"/>
      <c r="R27" s="324"/>
      <c r="S27" s="324"/>
      <c r="T27" s="76"/>
      <c r="U27" s="76"/>
      <c r="V27" s="76"/>
      <c r="W27" s="76"/>
      <c r="X27" s="76"/>
      <c r="Y27" s="76"/>
      <c r="Z27" s="76"/>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row>
    <row r="28" spans="3:62" ht="33" customHeight="1">
      <c r="C28" s="636" t="s">
        <v>514</v>
      </c>
      <c r="D28" s="637"/>
      <c r="E28" s="637"/>
      <c r="F28" s="637"/>
      <c r="G28" s="637"/>
      <c r="H28" s="637"/>
      <c r="I28" s="637"/>
      <c r="J28" s="637"/>
      <c r="K28" s="322"/>
      <c r="L28" s="325"/>
      <c r="M28" s="325"/>
      <c r="N28" s="325"/>
      <c r="O28" s="325"/>
      <c r="P28" s="325"/>
      <c r="Q28" s="326"/>
      <c r="R28" s="324"/>
      <c r="S28" s="324"/>
      <c r="T28" s="76"/>
      <c r="U28" s="76"/>
      <c r="V28" s="76"/>
      <c r="W28" s="76"/>
      <c r="X28" s="76"/>
      <c r="Y28" s="76"/>
      <c r="Z28" s="76"/>
      <c r="AA28" s="76"/>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row>
    <row r="29" spans="3:16" s="1" customFormat="1" ht="21.75" customHeight="1">
      <c r="C29" s="634" t="s">
        <v>374</v>
      </c>
      <c r="D29" s="635"/>
      <c r="E29" s="635"/>
      <c r="F29" s="635"/>
      <c r="G29" s="635"/>
      <c r="H29" s="635"/>
      <c r="I29" s="635"/>
      <c r="J29" s="635"/>
      <c r="K29" s="23"/>
      <c r="M29" s="12"/>
      <c r="P29" s="52"/>
    </row>
    <row r="30" spans="6:16" s="1" customFormat="1" ht="12.75">
      <c r="F30" s="77"/>
      <c r="G30" s="77"/>
      <c r="J30" s="23"/>
      <c r="K30" s="23"/>
      <c r="M30" s="12"/>
      <c r="P30" s="52"/>
    </row>
    <row r="31" spans="6:16" s="1" customFormat="1" ht="12.75">
      <c r="F31" s="327"/>
      <c r="G31" s="327"/>
      <c r="J31" s="23"/>
      <c r="K31" s="23"/>
      <c r="M31" s="12"/>
      <c r="P31" s="52"/>
    </row>
    <row r="32" spans="6:16" s="1" customFormat="1" ht="12.75">
      <c r="F32" s="23"/>
      <c r="G32" s="23"/>
      <c r="J32" s="328"/>
      <c r="K32" s="328"/>
      <c r="P32" s="52"/>
    </row>
    <row r="33" spans="6:11" s="1" customFormat="1" ht="11.25">
      <c r="F33" s="23"/>
      <c r="G33" s="23"/>
      <c r="J33" s="23"/>
      <c r="K33" s="23"/>
    </row>
    <row r="34" spans="6:11" s="1" customFormat="1" ht="11.25">
      <c r="F34" s="23"/>
      <c r="G34" s="23"/>
      <c r="J34" s="23"/>
      <c r="K34" s="23"/>
    </row>
    <row r="35" spans="6:11" s="1" customFormat="1" ht="11.25">
      <c r="F35" s="23"/>
      <c r="G35" s="23"/>
      <c r="J35" s="23"/>
      <c r="K35" s="23"/>
    </row>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7">
    <mergeCell ref="C29:J29"/>
    <mergeCell ref="C27:J27"/>
    <mergeCell ref="C28:J28"/>
    <mergeCell ref="A1:N1"/>
    <mergeCell ref="A2:N2"/>
    <mergeCell ref="A3:N3"/>
    <mergeCell ref="A4:N4"/>
  </mergeCells>
  <hyperlinks>
    <hyperlink ref="K68" location="'Loss Reserve Rollforward'!c50" display="'Loss Reserve Rollforward'!c50"/>
    <hyperlink ref="E41" location="'Consol Bal Sheet'!j17" display="'Consol Bal Sheet'!j17"/>
    <hyperlink ref="E68" location="'Loss Reserve Rollforward'!C45" display="'Loss Reserve Rollforward'!C45"/>
  </hyperlinks>
  <printOptions/>
  <pageMargins left="0.5" right="0.5" top="0.5" bottom="0.55" header="0.75" footer="0.3"/>
  <pageSetup horizontalDpi="600" verticalDpi="600" orientation="landscape" r:id="rId2"/>
  <headerFooter alignWithMargins="0">
    <oddFooter>&amp;L&amp;A&amp;R&amp;"Arial,Regular"&amp;8Page 16</oddFooter>
  </headerFooter>
  <drawing r:id="rId1"/>
</worksheet>
</file>

<file path=xl/worksheets/sheet19.xml><?xml version="1.0" encoding="utf-8"?>
<worksheet xmlns="http://schemas.openxmlformats.org/spreadsheetml/2006/main" xmlns:r="http://schemas.openxmlformats.org/officeDocument/2006/relationships">
  <sheetPr codeName="Sheet28"/>
  <dimension ref="A1:AN89"/>
  <sheetViews>
    <sheetView workbookViewId="0" topLeftCell="A1">
      <selection activeCell="A1" sqref="A1:M1"/>
    </sheetView>
  </sheetViews>
  <sheetFormatPr defaultColWidth="9.33203125" defaultRowHeight="12.75"/>
  <cols>
    <col min="1" max="1" width="3.33203125" style="1" customWidth="1"/>
    <col min="2" max="2" width="2.83203125" style="1" customWidth="1"/>
    <col min="3" max="3" width="42.16015625" style="1" customWidth="1"/>
    <col min="4" max="4" width="2.83203125" style="1" customWidth="1"/>
    <col min="5" max="5" width="15.5" style="1" customWidth="1"/>
    <col min="6" max="6" width="2.83203125" style="1" customWidth="1"/>
    <col min="7" max="7" width="15.5" style="1" customWidth="1"/>
    <col min="8" max="8" width="2.83203125" style="1" customWidth="1"/>
    <col min="9" max="9" width="15.33203125" style="1" customWidth="1"/>
    <col min="10" max="10" width="2.83203125" style="1" customWidth="1"/>
    <col min="11" max="11" width="15.5" style="1" customWidth="1"/>
    <col min="12" max="13" width="2.83203125" style="1" customWidth="1"/>
    <col min="14" max="14" width="15.5" style="1" customWidth="1"/>
    <col min="15" max="15" width="2.83203125" style="1" customWidth="1"/>
    <col min="16" max="16" width="15.5" style="1" customWidth="1"/>
    <col min="17" max="18" width="2.83203125" style="1" customWidth="1"/>
    <col min="19" max="19" width="14.83203125" style="1" customWidth="1"/>
    <col min="20" max="22" width="9.5" style="1" customWidth="1"/>
    <col min="23" max="23" width="6.16015625" style="1" customWidth="1"/>
    <col min="24" max="24" width="9.66015625" style="1" customWidth="1"/>
    <col min="25" max="25" width="8.5" style="1" customWidth="1"/>
    <col min="26" max="26" width="9.33203125" style="1" customWidth="1"/>
    <col min="27" max="16384" width="8.16015625" style="1" customWidth="1"/>
  </cols>
  <sheetData>
    <row r="1" spans="1:27" ht="12.75">
      <c r="A1" s="638" t="s">
        <v>89</v>
      </c>
      <c r="B1" s="638"/>
      <c r="C1" s="638"/>
      <c r="D1" s="638"/>
      <c r="E1" s="638"/>
      <c r="F1" s="638"/>
      <c r="G1" s="638"/>
      <c r="H1" s="638"/>
      <c r="I1" s="638"/>
      <c r="J1" s="638"/>
      <c r="K1" s="638"/>
      <c r="L1" s="638"/>
      <c r="M1" s="638"/>
      <c r="N1" s="349"/>
      <c r="O1" s="349"/>
      <c r="P1" s="349"/>
      <c r="Q1" s="349"/>
      <c r="R1" s="349"/>
      <c r="S1" s="349"/>
      <c r="T1" s="87"/>
      <c r="U1" s="87"/>
      <c r="V1" s="87"/>
      <c r="W1" s="87"/>
      <c r="X1" s="87"/>
      <c r="Y1" s="87"/>
      <c r="Z1" s="87"/>
      <c r="AA1" s="87"/>
    </row>
    <row r="2" spans="1:27" ht="12.75" customHeight="1">
      <c r="A2" s="639" t="s">
        <v>192</v>
      </c>
      <c r="B2" s="639"/>
      <c r="C2" s="639"/>
      <c r="D2" s="639"/>
      <c r="E2" s="639"/>
      <c r="F2" s="639"/>
      <c r="G2" s="639"/>
      <c r="H2" s="639"/>
      <c r="I2" s="639"/>
      <c r="J2" s="639"/>
      <c r="K2" s="639"/>
      <c r="L2" s="639"/>
      <c r="M2" s="639"/>
      <c r="N2" s="54"/>
      <c r="O2" s="54"/>
      <c r="P2" s="54"/>
      <c r="Q2" s="54"/>
      <c r="R2" s="54"/>
      <c r="S2" s="54"/>
      <c r="T2" s="87"/>
      <c r="U2" s="87"/>
      <c r="V2" s="87"/>
      <c r="W2" s="87"/>
      <c r="X2" s="87"/>
      <c r="Y2" s="87"/>
      <c r="Z2" s="87"/>
      <c r="AA2" s="87"/>
    </row>
    <row r="3" spans="1:27" ht="12.75" customHeight="1">
      <c r="A3" s="640" t="s">
        <v>147</v>
      </c>
      <c r="B3" s="640"/>
      <c r="C3" s="640"/>
      <c r="D3" s="640"/>
      <c r="E3" s="640"/>
      <c r="F3" s="640"/>
      <c r="G3" s="640"/>
      <c r="H3" s="640"/>
      <c r="I3" s="640"/>
      <c r="J3" s="640"/>
      <c r="K3" s="640"/>
      <c r="L3" s="640"/>
      <c r="M3" s="640"/>
      <c r="N3" s="352"/>
      <c r="O3" s="352"/>
      <c r="P3" s="352"/>
      <c r="Q3" s="352"/>
      <c r="R3" s="352"/>
      <c r="S3" s="352"/>
      <c r="T3" s="87"/>
      <c r="U3" s="87"/>
      <c r="V3" s="87"/>
      <c r="W3" s="87"/>
      <c r="X3" s="87"/>
      <c r="Y3" s="87"/>
      <c r="Z3" s="87"/>
      <c r="AA3" s="87"/>
    </row>
    <row r="4" spans="1:27" ht="12.75" customHeight="1">
      <c r="A4" s="640" t="s">
        <v>163</v>
      </c>
      <c r="B4" s="640"/>
      <c r="C4" s="640"/>
      <c r="D4" s="640"/>
      <c r="E4" s="640"/>
      <c r="F4" s="640"/>
      <c r="G4" s="640"/>
      <c r="H4" s="640"/>
      <c r="I4" s="640"/>
      <c r="J4" s="640"/>
      <c r="K4" s="640"/>
      <c r="L4" s="640"/>
      <c r="M4" s="640"/>
      <c r="N4" s="352"/>
      <c r="O4" s="352"/>
      <c r="P4" s="352"/>
      <c r="Q4" s="352"/>
      <c r="R4" s="352"/>
      <c r="S4" s="352"/>
      <c r="T4" s="87"/>
      <c r="U4" s="87"/>
      <c r="V4" s="87"/>
      <c r="W4" s="87"/>
      <c r="X4" s="87"/>
      <c r="Y4" s="87"/>
      <c r="Z4" s="87"/>
      <c r="AA4" s="87"/>
    </row>
    <row r="5" spans="3:16" ht="11.25" customHeight="1">
      <c r="C5" s="507"/>
      <c r="D5" s="507"/>
      <c r="E5" s="507"/>
      <c r="I5" s="7"/>
      <c r="J5" s="7"/>
      <c r="K5" s="7"/>
      <c r="L5" s="7"/>
      <c r="M5" s="7"/>
      <c r="N5" s="7"/>
      <c r="O5" s="7"/>
      <c r="P5" s="7"/>
    </row>
    <row r="6" spans="3:19" ht="12" customHeight="1">
      <c r="C6" s="198"/>
      <c r="D6" s="198"/>
      <c r="E6" s="271" t="s">
        <v>430</v>
      </c>
      <c r="F6" s="198"/>
      <c r="G6" s="271" t="s">
        <v>208</v>
      </c>
      <c r="H6" s="198"/>
      <c r="I6" s="271" t="s">
        <v>207</v>
      </c>
      <c r="J6" s="545"/>
      <c r="K6" s="271"/>
      <c r="L6" s="545"/>
      <c r="M6" s="271"/>
      <c r="N6" s="271"/>
      <c r="O6" s="271"/>
      <c r="P6" s="271"/>
      <c r="Q6"/>
      <c r="R6"/>
      <c r="S6"/>
    </row>
    <row r="7" spans="5:19" ht="12" customHeight="1">
      <c r="E7" s="196">
        <v>2007</v>
      </c>
      <c r="G7" s="196">
        <v>2007</v>
      </c>
      <c r="I7" s="196">
        <v>2006</v>
      </c>
      <c r="J7" s="7"/>
      <c r="K7" s="493"/>
      <c r="L7" s="333"/>
      <c r="M7" s="160"/>
      <c r="N7" s="493"/>
      <c r="O7" s="160"/>
      <c r="P7" s="493"/>
      <c r="Q7"/>
      <c r="R7"/>
      <c r="S7"/>
    </row>
    <row r="8" spans="3:19" ht="12" customHeight="1">
      <c r="C8" s="179" t="s">
        <v>224</v>
      </c>
      <c r="D8" s="179"/>
      <c r="E8" s="42"/>
      <c r="F8" s="179"/>
      <c r="G8" s="42"/>
      <c r="H8" s="179"/>
      <c r="I8" s="42"/>
      <c r="J8" s="333"/>
      <c r="K8" s="75"/>
      <c r="L8" s="75"/>
      <c r="M8" s="160"/>
      <c r="N8" s="122"/>
      <c r="O8" s="160"/>
      <c r="P8" s="122"/>
      <c r="Q8"/>
      <c r="R8"/>
      <c r="S8"/>
    </row>
    <row r="9" spans="3:19" ht="12" customHeight="1">
      <c r="C9" s="1" t="s">
        <v>286</v>
      </c>
      <c r="E9" s="31">
        <f>+'Consol Bal Sheet'!E9</f>
        <v>30591</v>
      </c>
      <c r="G9" s="31">
        <v>29934</v>
      </c>
      <c r="I9" s="31">
        <v>28540</v>
      </c>
      <c r="J9" s="7"/>
      <c r="K9" s="32"/>
      <c r="L9" s="7"/>
      <c r="M9" s="411"/>
      <c r="N9" s="32"/>
      <c r="O9" s="411"/>
      <c r="P9" s="32"/>
      <c r="Q9"/>
      <c r="R9"/>
      <c r="S9"/>
    </row>
    <row r="10" spans="3:19" ht="12" customHeight="1">
      <c r="C10" s="1" t="s">
        <v>287</v>
      </c>
      <c r="E10" s="63">
        <v>2957</v>
      </c>
      <c r="G10" s="63">
        <v>3039</v>
      </c>
      <c r="I10" s="63">
        <v>3015</v>
      </c>
      <c r="J10" s="7"/>
      <c r="K10" s="38"/>
      <c r="L10" s="7"/>
      <c r="M10" s="411"/>
      <c r="N10" s="38"/>
      <c r="O10" s="411"/>
      <c r="P10" s="53"/>
      <c r="Q10"/>
      <c r="R10"/>
      <c r="S10"/>
    </row>
    <row r="11" spans="3:19" ht="12" customHeight="1">
      <c r="C11" s="1" t="s">
        <v>85</v>
      </c>
      <c r="E11" s="63">
        <f>+'Consol Bal Sheet'!E12</f>
        <v>2919</v>
      </c>
      <c r="G11" s="63">
        <v>2658</v>
      </c>
      <c r="I11" s="63">
        <v>2456</v>
      </c>
      <c r="J11" s="7"/>
      <c r="K11" s="38"/>
      <c r="L11" s="7"/>
      <c r="M11" s="411"/>
      <c r="N11" s="38"/>
      <c r="O11" s="411"/>
      <c r="P11" s="38"/>
      <c r="Q11"/>
      <c r="R11"/>
      <c r="S11"/>
    </row>
    <row r="12" spans="3:19" ht="12.75" customHeight="1" thickBot="1">
      <c r="C12" s="172" t="s">
        <v>59</v>
      </c>
      <c r="D12" s="172"/>
      <c r="E12" s="194">
        <f>SUM(E9:E11)</f>
        <v>36467</v>
      </c>
      <c r="F12" s="172"/>
      <c r="G12" s="194">
        <f>SUM(G9:G11)</f>
        <v>35631</v>
      </c>
      <c r="H12" s="172"/>
      <c r="I12" s="194">
        <f>SUM(I9:I11)</f>
        <v>34011</v>
      </c>
      <c r="J12" s="181"/>
      <c r="K12" s="214"/>
      <c r="L12" s="181"/>
      <c r="M12" s="411"/>
      <c r="N12" s="214"/>
      <c r="O12" s="411"/>
      <c r="P12" s="214"/>
      <c r="Q12"/>
      <c r="R12"/>
      <c r="S12"/>
    </row>
    <row r="13" spans="5:19" ht="4.5" customHeight="1" thickTop="1">
      <c r="E13" s="42"/>
      <c r="G13" s="42"/>
      <c r="I13" s="42"/>
      <c r="J13" s="7"/>
      <c r="K13" s="75"/>
      <c r="L13" s="7"/>
      <c r="M13" s="411"/>
      <c r="N13" s="75"/>
      <c r="O13" s="411"/>
      <c r="P13" s="32"/>
      <c r="Q13"/>
      <c r="R13"/>
      <c r="S13"/>
    </row>
    <row r="14" spans="3:40" ht="12" customHeight="1">
      <c r="C14" s="179" t="s">
        <v>137</v>
      </c>
      <c r="D14" s="179"/>
      <c r="E14" s="226"/>
      <c r="F14" s="179"/>
      <c r="G14" s="226"/>
      <c r="H14" s="179"/>
      <c r="I14" s="226"/>
      <c r="J14" s="333"/>
      <c r="K14" s="334"/>
      <c r="L14" s="333"/>
      <c r="M14" s="411"/>
      <c r="N14" s="334"/>
      <c r="O14" s="411"/>
      <c r="P14" s="411"/>
      <c r="Q14"/>
      <c r="R14"/>
      <c r="S14"/>
      <c r="AD14" s="52"/>
      <c r="AE14" s="52"/>
      <c r="AF14" s="52"/>
      <c r="AG14" s="52"/>
      <c r="AH14" s="52"/>
      <c r="AI14" s="52"/>
      <c r="AJ14" s="52"/>
      <c r="AK14" s="52"/>
      <c r="AL14" s="52"/>
      <c r="AM14" s="52"/>
      <c r="AN14" s="52"/>
    </row>
    <row r="15" spans="3:40" ht="12" customHeight="1">
      <c r="C15" s="1" t="s">
        <v>60</v>
      </c>
      <c r="E15" s="31">
        <v>1587</v>
      </c>
      <c r="G15" s="31">
        <v>1689</v>
      </c>
      <c r="I15" s="31">
        <v>1322</v>
      </c>
      <c r="J15" s="7"/>
      <c r="K15" s="404"/>
      <c r="L15" s="7"/>
      <c r="M15" s="411"/>
      <c r="N15" s="32"/>
      <c r="O15" s="411"/>
      <c r="P15" s="32"/>
      <c r="Q15"/>
      <c r="R15"/>
      <c r="V15" s="591">
        <f aca="true" t="shared" si="0" ref="V15:V22">ROUND(+E15/$E$23,2)</f>
        <v>0.04</v>
      </c>
      <c r="Y15" s="41"/>
      <c r="Z15" s="41"/>
      <c r="AD15" s="52"/>
      <c r="AE15" s="52"/>
      <c r="AF15" s="52"/>
      <c r="AG15" s="52"/>
      <c r="AH15" s="52"/>
      <c r="AI15" s="52"/>
      <c r="AJ15" s="52"/>
      <c r="AK15" s="52"/>
      <c r="AL15" s="52"/>
      <c r="AM15" s="52"/>
      <c r="AN15" s="52"/>
    </row>
    <row r="16" spans="3:40" ht="12" customHeight="1">
      <c r="C16" s="1" t="s">
        <v>61</v>
      </c>
      <c r="E16" s="63">
        <v>2117</v>
      </c>
      <c r="G16" s="63">
        <v>2223</v>
      </c>
      <c r="I16" s="63">
        <v>2207</v>
      </c>
      <c r="J16" s="7"/>
      <c r="K16" s="404"/>
      <c r="L16" s="7"/>
      <c r="M16" s="411"/>
      <c r="N16" s="85"/>
      <c r="O16" s="411"/>
      <c r="P16" s="38"/>
      <c r="Q16"/>
      <c r="R16"/>
      <c r="V16" s="591">
        <f t="shared" si="0"/>
        <v>0.06</v>
      </c>
      <c r="Y16" s="41"/>
      <c r="Z16" s="41"/>
      <c r="AD16" s="52"/>
      <c r="AE16" s="52"/>
      <c r="AF16" s="52"/>
      <c r="AG16" s="52"/>
      <c r="AH16" s="52"/>
      <c r="AI16" s="52"/>
      <c r="AJ16" s="52"/>
      <c r="AK16" s="52"/>
      <c r="AL16" s="52"/>
      <c r="AM16" s="52"/>
      <c r="AN16" s="52"/>
    </row>
    <row r="17" spans="3:40" ht="12" customHeight="1">
      <c r="C17" s="1" t="s">
        <v>62</v>
      </c>
      <c r="E17" s="63">
        <v>7643</v>
      </c>
      <c r="G17" s="63">
        <v>7473</v>
      </c>
      <c r="I17" s="63">
        <v>7394</v>
      </c>
      <c r="J17" s="7"/>
      <c r="K17" s="404"/>
      <c r="L17" s="7"/>
      <c r="M17" s="411"/>
      <c r="N17" s="85"/>
      <c r="O17" s="411"/>
      <c r="P17" s="38"/>
      <c r="Q17"/>
      <c r="R17"/>
      <c r="V17" s="591">
        <f t="shared" si="0"/>
        <v>0.21</v>
      </c>
      <c r="Y17" s="41"/>
      <c r="Z17" s="41"/>
      <c r="AD17" s="52"/>
      <c r="AE17" s="52"/>
      <c r="AF17" s="52"/>
      <c r="AG17" s="52"/>
      <c r="AH17" s="52"/>
      <c r="AI17" s="52"/>
      <c r="AJ17" s="52"/>
      <c r="AK17" s="52"/>
      <c r="AL17" s="52"/>
      <c r="AM17" s="52"/>
      <c r="AN17" s="52"/>
    </row>
    <row r="18" spans="3:40" ht="12" customHeight="1">
      <c r="C18" s="1" t="s">
        <v>63</v>
      </c>
      <c r="E18" s="63">
        <v>12338</v>
      </c>
      <c r="G18" s="63">
        <v>11925</v>
      </c>
      <c r="I18" s="63">
        <v>11346</v>
      </c>
      <c r="J18" s="7"/>
      <c r="K18" s="404"/>
      <c r="L18" s="7"/>
      <c r="M18" s="411"/>
      <c r="N18" s="85"/>
      <c r="O18" s="411"/>
      <c r="P18" s="38"/>
      <c r="Q18"/>
      <c r="R18"/>
      <c r="V18" s="591">
        <f t="shared" si="0"/>
        <v>0.34</v>
      </c>
      <c r="Y18" s="41"/>
      <c r="Z18" s="41"/>
      <c r="AD18" s="52"/>
      <c r="AE18" s="52"/>
      <c r="AF18" s="52"/>
      <c r="AG18" s="52"/>
      <c r="AH18" s="52"/>
      <c r="AI18" s="52"/>
      <c r="AJ18" s="52"/>
      <c r="AK18" s="52"/>
      <c r="AL18" s="52"/>
      <c r="AM18" s="52"/>
      <c r="AN18" s="52"/>
    </row>
    <row r="19" spans="3:40" ht="12" customHeight="1">
      <c r="C19" s="1" t="s">
        <v>64</v>
      </c>
      <c r="E19" s="63">
        <v>1611</v>
      </c>
      <c r="G19" s="63">
        <v>1772</v>
      </c>
      <c r="I19" s="63">
        <v>2020</v>
      </c>
      <c r="J19" s="7"/>
      <c r="K19" s="404"/>
      <c r="L19" s="7"/>
      <c r="M19" s="411"/>
      <c r="N19" s="85"/>
      <c r="O19" s="411"/>
      <c r="P19" s="38"/>
      <c r="Q19"/>
      <c r="R19"/>
      <c r="V19" s="591">
        <f t="shared" si="0"/>
        <v>0.04</v>
      </c>
      <c r="Y19" s="41"/>
      <c r="Z19" s="41"/>
      <c r="AD19" s="52"/>
      <c r="AE19" s="52"/>
      <c r="AF19" s="52"/>
      <c r="AG19" s="52"/>
      <c r="AH19" s="52"/>
      <c r="AI19" s="52"/>
      <c r="AJ19" s="52"/>
      <c r="AK19" s="52"/>
      <c r="AL19" s="52"/>
      <c r="AM19" s="52"/>
      <c r="AN19" s="52"/>
    </row>
    <row r="20" spans="3:40" ht="12" customHeight="1">
      <c r="C20" s="1" t="s">
        <v>65</v>
      </c>
      <c r="E20" s="63">
        <v>1367</v>
      </c>
      <c r="G20" s="63">
        <v>1157</v>
      </c>
      <c r="I20" s="63">
        <v>809</v>
      </c>
      <c r="J20" s="7"/>
      <c r="K20" s="404"/>
      <c r="L20" s="7"/>
      <c r="M20" s="411"/>
      <c r="N20" s="85"/>
      <c r="O20" s="411"/>
      <c r="P20" s="38"/>
      <c r="Q20"/>
      <c r="R20"/>
      <c r="V20" s="591">
        <f t="shared" si="0"/>
        <v>0.04</v>
      </c>
      <c r="Y20" s="41"/>
      <c r="Z20" s="41"/>
      <c r="AD20" s="52"/>
      <c r="AE20" s="52"/>
      <c r="AF20" s="52"/>
      <c r="AG20" s="52"/>
      <c r="AH20" s="52"/>
      <c r="AI20" s="52"/>
      <c r="AJ20" s="52"/>
      <c r="AK20" s="52"/>
      <c r="AL20" s="52"/>
      <c r="AM20" s="52"/>
      <c r="AN20" s="52"/>
    </row>
    <row r="21" spans="3:40" ht="12" customHeight="1">
      <c r="C21" s="1" t="s">
        <v>380</v>
      </c>
      <c r="E21" s="63">
        <v>6885</v>
      </c>
      <c r="G21" s="63">
        <v>6734</v>
      </c>
      <c r="I21" s="63">
        <v>6457</v>
      </c>
      <c r="J21" s="7"/>
      <c r="K21" s="404"/>
      <c r="L21" s="7"/>
      <c r="M21" s="411"/>
      <c r="N21" s="85"/>
      <c r="O21" s="411"/>
      <c r="P21" s="38"/>
      <c r="Q21"/>
      <c r="R21"/>
      <c r="V21" s="591">
        <f t="shared" si="0"/>
        <v>0.19</v>
      </c>
      <c r="Y21" s="41"/>
      <c r="Z21" s="41"/>
      <c r="AD21" s="52"/>
      <c r="AE21" s="52"/>
      <c r="AF21" s="52"/>
      <c r="AG21" s="52"/>
      <c r="AH21" s="52"/>
      <c r="AI21" s="52"/>
      <c r="AJ21" s="52"/>
      <c r="AK21" s="52"/>
      <c r="AL21" s="52"/>
      <c r="AM21" s="52"/>
      <c r="AN21" s="52"/>
    </row>
    <row r="22" spans="3:40" ht="12" customHeight="1">
      <c r="C22" s="1" t="s">
        <v>85</v>
      </c>
      <c r="E22" s="63">
        <v>2918.987</v>
      </c>
      <c r="G22" s="63">
        <f>G11</f>
        <v>2658</v>
      </c>
      <c r="I22" s="63">
        <v>2456</v>
      </c>
      <c r="J22" s="7"/>
      <c r="K22" s="404"/>
      <c r="L22" s="7"/>
      <c r="M22" s="411"/>
      <c r="N22" s="85"/>
      <c r="O22" s="411"/>
      <c r="P22" s="38"/>
      <c r="Q22"/>
      <c r="R22"/>
      <c r="V22" s="591">
        <f t="shared" si="0"/>
        <v>0.08</v>
      </c>
      <c r="Y22" s="41"/>
      <c r="Z22" s="41"/>
      <c r="AD22" s="52"/>
      <c r="AE22" s="52"/>
      <c r="AF22" s="52"/>
      <c r="AG22" s="52"/>
      <c r="AH22" s="52"/>
      <c r="AI22" s="52"/>
      <c r="AJ22" s="52"/>
      <c r="AK22" s="52"/>
      <c r="AL22" s="52"/>
      <c r="AM22" s="52"/>
      <c r="AN22" s="52"/>
    </row>
    <row r="23" spans="3:40" ht="12.75" customHeight="1" thickBot="1">
      <c r="C23" s="172" t="s">
        <v>59</v>
      </c>
      <c r="D23" s="172"/>
      <c r="E23" s="194">
        <f>+SUM(E15:E22)</f>
        <v>36466.987</v>
      </c>
      <c r="F23" s="172"/>
      <c r="G23" s="194">
        <f>+SUM(G15:G22)</f>
        <v>35631</v>
      </c>
      <c r="H23" s="172"/>
      <c r="I23" s="194">
        <f>+SUM(I15:I22)</f>
        <v>34011</v>
      </c>
      <c r="J23" s="181"/>
      <c r="K23" s="404"/>
      <c r="L23" s="181"/>
      <c r="M23" s="411"/>
      <c r="N23" s="214"/>
      <c r="O23" s="411"/>
      <c r="P23" s="214"/>
      <c r="Q23"/>
      <c r="R23"/>
      <c r="V23" s="592">
        <f>SUM(V15:V22)</f>
        <v>1.0000000000000002</v>
      </c>
      <c r="Y23" s="41"/>
      <c r="Z23" s="41"/>
      <c r="AD23" s="52"/>
      <c r="AE23" s="52"/>
      <c r="AF23" s="52"/>
      <c r="AG23" s="52"/>
      <c r="AH23" s="52"/>
      <c r="AI23" s="52"/>
      <c r="AJ23" s="52"/>
      <c r="AK23" s="52"/>
      <c r="AL23" s="52"/>
      <c r="AM23" s="52"/>
      <c r="AN23" s="52"/>
    </row>
    <row r="24" spans="5:22" ht="3.75" customHeight="1" thickTop="1">
      <c r="E24" s="63"/>
      <c r="G24" s="63"/>
      <c r="I24" s="63"/>
      <c r="J24" s="7"/>
      <c r="K24" s="38"/>
      <c r="L24" s="7"/>
      <c r="M24" s="411"/>
      <c r="N24" s="75"/>
      <c r="O24" s="411"/>
      <c r="P24" s="75"/>
      <c r="Q24"/>
      <c r="R24"/>
      <c r="T24" s="42"/>
      <c r="U24" s="42"/>
      <c r="V24"/>
    </row>
    <row r="25" spans="3:22" ht="12" customHeight="1">
      <c r="C25" s="179" t="s">
        <v>10</v>
      </c>
      <c r="D25" s="179"/>
      <c r="E25" s="396"/>
      <c r="F25" s="179"/>
      <c r="G25" s="396"/>
      <c r="H25" s="179"/>
      <c r="I25" s="396"/>
      <c r="J25" s="333"/>
      <c r="K25" s="546"/>
      <c r="L25" s="333"/>
      <c r="M25" s="411"/>
      <c r="N25" s="334"/>
      <c r="O25" s="411"/>
      <c r="P25" s="411"/>
      <c r="Q25"/>
      <c r="R25"/>
      <c r="V25"/>
    </row>
    <row r="26" spans="3:26" ht="12" customHeight="1">
      <c r="C26" s="1" t="s">
        <v>142</v>
      </c>
      <c r="E26" s="31">
        <v>24121</v>
      </c>
      <c r="G26" s="31">
        <v>23783</v>
      </c>
      <c r="I26" s="31">
        <v>22471</v>
      </c>
      <c r="J26" s="7"/>
      <c r="K26" s="404"/>
      <c r="L26" s="7"/>
      <c r="M26" s="411"/>
      <c r="N26" s="32"/>
      <c r="O26" s="411"/>
      <c r="P26" s="250"/>
      <c r="Q26"/>
      <c r="R26"/>
      <c r="V26" s="590">
        <f aca="true" t="shared" si="1" ref="V26:V32">ROUND(+E26/$E$33,3)</f>
        <v>0.661</v>
      </c>
      <c r="Y26" s="41"/>
      <c r="Z26" s="41"/>
    </row>
    <row r="27" spans="3:26" ht="12" customHeight="1">
      <c r="C27" s="1" t="s">
        <v>143</v>
      </c>
      <c r="E27" s="63">
        <v>3178</v>
      </c>
      <c r="G27" s="63">
        <v>3095</v>
      </c>
      <c r="I27" s="63">
        <v>2725</v>
      </c>
      <c r="J27" s="7"/>
      <c r="K27" s="404"/>
      <c r="L27" s="7"/>
      <c r="M27" s="411"/>
      <c r="N27" s="85"/>
      <c r="O27" s="411"/>
      <c r="P27" s="341"/>
      <c r="Q27"/>
      <c r="R27"/>
      <c r="V27" s="590">
        <f t="shared" si="1"/>
        <v>0.087</v>
      </c>
      <c r="Y27" s="41"/>
      <c r="Z27" s="41"/>
    </row>
    <row r="28" spans="3:26" ht="12" customHeight="1">
      <c r="C28" s="1" t="s">
        <v>144</v>
      </c>
      <c r="E28" s="63">
        <v>3902</v>
      </c>
      <c r="G28" s="63">
        <v>3582</v>
      </c>
      <c r="I28" s="63">
        <v>3909</v>
      </c>
      <c r="J28" s="7"/>
      <c r="K28" s="404"/>
      <c r="L28" s="7"/>
      <c r="M28" s="411"/>
      <c r="N28" s="85"/>
      <c r="O28" s="411"/>
      <c r="P28" s="341"/>
      <c r="Q28"/>
      <c r="R28"/>
      <c r="V28" s="590">
        <f t="shared" si="1"/>
        <v>0.107</v>
      </c>
      <c r="Y28" s="41"/>
      <c r="Z28" s="41"/>
    </row>
    <row r="29" spans="3:26" ht="12" customHeight="1">
      <c r="C29" s="1" t="s">
        <v>145</v>
      </c>
      <c r="E29" s="63">
        <v>2841</v>
      </c>
      <c r="G29" s="63">
        <v>2610</v>
      </c>
      <c r="I29" s="63">
        <v>2498</v>
      </c>
      <c r="J29" s="7"/>
      <c r="K29" s="404"/>
      <c r="L29" s="7"/>
      <c r="M29" s="411"/>
      <c r="N29" s="85"/>
      <c r="O29" s="411"/>
      <c r="P29" s="341"/>
      <c r="Q29"/>
      <c r="R29"/>
      <c r="V29" s="590">
        <f t="shared" si="1"/>
        <v>0.078</v>
      </c>
      <c r="Y29" s="41"/>
      <c r="Z29" s="41"/>
    </row>
    <row r="30" spans="3:26" ht="12" customHeight="1">
      <c r="C30" s="1" t="s">
        <v>83</v>
      </c>
      <c r="E30" s="63">
        <v>948</v>
      </c>
      <c r="G30" s="63">
        <v>992</v>
      </c>
      <c r="I30" s="63">
        <v>943</v>
      </c>
      <c r="J30" s="7"/>
      <c r="K30" s="404"/>
      <c r="L30" s="7"/>
      <c r="M30" s="411"/>
      <c r="N30" s="85"/>
      <c r="O30" s="411"/>
      <c r="P30" s="341"/>
      <c r="Q30"/>
      <c r="R30"/>
      <c r="V30" s="590">
        <f t="shared" si="1"/>
        <v>0.026</v>
      </c>
      <c r="Y30" s="41"/>
      <c r="Z30" s="41"/>
    </row>
    <row r="31" spans="3:26" ht="12" customHeight="1">
      <c r="C31" s="1" t="s">
        <v>146</v>
      </c>
      <c r="E31" s="63">
        <v>1376</v>
      </c>
      <c r="G31" s="63">
        <v>1475</v>
      </c>
      <c r="I31" s="63">
        <v>1365</v>
      </c>
      <c r="J31" s="7"/>
      <c r="K31" s="404"/>
      <c r="L31" s="7"/>
      <c r="M31" s="411"/>
      <c r="N31" s="85"/>
      <c r="O31" s="411"/>
      <c r="P31" s="341"/>
      <c r="Q31"/>
      <c r="R31"/>
      <c r="V31" s="590">
        <f t="shared" si="1"/>
        <v>0.038</v>
      </c>
      <c r="Y31" s="41"/>
      <c r="Z31" s="41"/>
    </row>
    <row r="32" spans="3:26" ht="12" customHeight="1">
      <c r="C32" s="1" t="s">
        <v>141</v>
      </c>
      <c r="E32" s="63">
        <v>101</v>
      </c>
      <c r="G32" s="63">
        <v>94</v>
      </c>
      <c r="I32" s="63">
        <v>100</v>
      </c>
      <c r="J32" s="7"/>
      <c r="K32" s="404"/>
      <c r="L32" s="7"/>
      <c r="M32" s="411"/>
      <c r="N32" s="85"/>
      <c r="O32" s="411"/>
      <c r="P32" s="341"/>
      <c r="Q32"/>
      <c r="R32"/>
      <c r="V32" s="590">
        <f t="shared" si="1"/>
        <v>0.003</v>
      </c>
      <c r="Y32" s="41"/>
      <c r="Z32" s="41"/>
    </row>
    <row r="33" spans="3:26" ht="12.75" customHeight="1" thickBot="1">
      <c r="C33" s="172" t="s">
        <v>177</v>
      </c>
      <c r="D33" s="172"/>
      <c r="E33" s="212">
        <f>+SUM(E26:E32)</f>
        <v>36467</v>
      </c>
      <c r="F33" s="172"/>
      <c r="G33" s="212">
        <f>+SUM(G26:G32)</f>
        <v>35631</v>
      </c>
      <c r="H33" s="172"/>
      <c r="I33" s="212">
        <f>+SUM(I26:I32)</f>
        <v>34011</v>
      </c>
      <c r="J33" s="181"/>
      <c r="K33" s="213"/>
      <c r="L33" s="181"/>
      <c r="M33" s="411"/>
      <c r="N33" s="213"/>
      <c r="O33" s="411"/>
      <c r="P33" s="213"/>
      <c r="Q33"/>
      <c r="R33"/>
      <c r="V33" s="592">
        <f>SUM(V26:V32)</f>
        <v>1</v>
      </c>
      <c r="Y33" s="41"/>
      <c r="Z33" s="41"/>
    </row>
    <row r="34" spans="5:19" ht="5.25" customHeight="1" thickTop="1">
      <c r="E34" s="42"/>
      <c r="G34" s="42"/>
      <c r="I34" s="42"/>
      <c r="J34" s="7"/>
      <c r="K34" s="75"/>
      <c r="L34" s="7"/>
      <c r="M34" s="411"/>
      <c r="N34" s="75"/>
      <c r="O34" s="411"/>
      <c r="P34" s="75"/>
      <c r="Q34"/>
      <c r="R34"/>
      <c r="S34"/>
    </row>
    <row r="35" spans="3:19" ht="12" customHeight="1">
      <c r="C35" s="195" t="s">
        <v>243</v>
      </c>
      <c r="D35" s="195"/>
      <c r="E35" s="363"/>
      <c r="F35" s="195"/>
      <c r="G35" s="363"/>
      <c r="H35" s="195"/>
      <c r="I35" s="363"/>
      <c r="J35" s="547"/>
      <c r="K35" s="494"/>
      <c r="L35" s="547"/>
      <c r="M35" s="411"/>
      <c r="N35" s="494"/>
      <c r="O35" s="411"/>
      <c r="P35" s="411"/>
      <c r="Q35"/>
      <c r="R35"/>
      <c r="S35"/>
    </row>
    <row r="36" spans="3:22" ht="12" customHeight="1">
      <c r="C36" s="1" t="s">
        <v>286</v>
      </c>
      <c r="E36" s="31">
        <v>30847</v>
      </c>
      <c r="G36" s="31">
        <v>29723</v>
      </c>
      <c r="I36" s="31">
        <v>28389</v>
      </c>
      <c r="J36" s="7"/>
      <c r="K36" s="32"/>
      <c r="L36" s="75"/>
      <c r="M36" s="411"/>
      <c r="N36" s="32"/>
      <c r="O36" s="411"/>
      <c r="P36" s="32"/>
      <c r="Q36"/>
      <c r="R36"/>
      <c r="S36"/>
      <c r="T36"/>
      <c r="U36"/>
      <c r="V36"/>
    </row>
    <row r="37" spans="3:22" ht="12" customHeight="1">
      <c r="C37" s="1" t="s">
        <v>287</v>
      </c>
      <c r="E37" s="63">
        <f>+'Consol Bal Sheet'!E10</f>
        <v>3013</v>
      </c>
      <c r="G37" s="63">
        <v>3060</v>
      </c>
      <c r="I37" s="63">
        <v>3047</v>
      </c>
      <c r="J37" s="7"/>
      <c r="K37" s="38"/>
      <c r="L37" s="75"/>
      <c r="M37" s="411"/>
      <c r="N37" s="38"/>
      <c r="O37" s="411"/>
      <c r="P37" s="53"/>
      <c r="Q37"/>
      <c r="R37"/>
      <c r="S37"/>
      <c r="T37"/>
      <c r="U37"/>
      <c r="V37"/>
    </row>
    <row r="38" spans="3:22" ht="12" customHeight="1">
      <c r="C38" s="42" t="s">
        <v>85</v>
      </c>
      <c r="D38" s="42"/>
      <c r="E38" s="229">
        <f>+E11</f>
        <v>2919</v>
      </c>
      <c r="F38" s="42"/>
      <c r="G38" s="229">
        <v>2658</v>
      </c>
      <c r="H38" s="42"/>
      <c r="I38" s="229">
        <v>2456</v>
      </c>
      <c r="J38" s="75"/>
      <c r="K38" s="38"/>
      <c r="L38" s="75"/>
      <c r="M38" s="411"/>
      <c r="N38" s="85"/>
      <c r="O38" s="411"/>
      <c r="P38" s="38"/>
      <c r="Q38"/>
      <c r="R38"/>
      <c r="S38"/>
      <c r="T38"/>
      <c r="U38"/>
      <c r="V38"/>
    </row>
    <row r="39" spans="3:19" ht="12" customHeight="1">
      <c r="C39" s="172" t="s">
        <v>225</v>
      </c>
      <c r="D39" s="172"/>
      <c r="E39" s="224">
        <f>+SUM(E36:E38)</f>
        <v>36779</v>
      </c>
      <c r="F39" s="172"/>
      <c r="G39" s="224">
        <f>+SUM(G36:G38)</f>
        <v>35441</v>
      </c>
      <c r="H39" s="172"/>
      <c r="I39" s="224">
        <f>+SUM(I36:I38)</f>
        <v>33892</v>
      </c>
      <c r="J39" s="181"/>
      <c r="K39" s="218"/>
      <c r="L39" s="181"/>
      <c r="M39" s="411"/>
      <c r="N39" s="361"/>
      <c r="O39" s="411"/>
      <c r="P39" s="361"/>
      <c r="Q39"/>
      <c r="R39"/>
      <c r="S39"/>
    </row>
    <row r="40" spans="3:19" ht="12" customHeight="1">
      <c r="C40" s="42" t="s">
        <v>79</v>
      </c>
      <c r="D40" s="42"/>
      <c r="E40" s="63">
        <v>1522</v>
      </c>
      <c r="F40" s="42"/>
      <c r="G40" s="63">
        <v>1432</v>
      </c>
      <c r="H40" s="42"/>
      <c r="I40" s="63">
        <v>1372</v>
      </c>
      <c r="J40" s="75"/>
      <c r="K40" s="38"/>
      <c r="L40" s="75"/>
      <c r="M40" s="411"/>
      <c r="N40" s="85"/>
      <c r="O40" s="411"/>
      <c r="P40" s="38"/>
      <c r="Q40"/>
      <c r="R40"/>
      <c r="S40"/>
    </row>
    <row r="41" spans="3:19" ht="12" customHeight="1">
      <c r="C41" s="42" t="s">
        <v>199</v>
      </c>
      <c r="D41" s="42"/>
      <c r="E41" s="229">
        <v>749</v>
      </c>
      <c r="F41" s="42"/>
      <c r="G41" s="229">
        <v>687</v>
      </c>
      <c r="H41" s="42"/>
      <c r="I41" s="229">
        <v>661</v>
      </c>
      <c r="J41" s="75"/>
      <c r="K41" s="38"/>
      <c r="L41" s="75"/>
      <c r="M41" s="411"/>
      <c r="N41" s="85"/>
      <c r="O41" s="411"/>
      <c r="P41" s="38"/>
      <c r="Q41"/>
      <c r="R41"/>
      <c r="S41"/>
    </row>
    <row r="42" spans="3:19" ht="12.75" customHeight="1" thickBot="1">
      <c r="C42" s="172" t="s">
        <v>59</v>
      </c>
      <c r="D42" s="172"/>
      <c r="E42" s="194">
        <f>+SUM(E39:E41)</f>
        <v>39050</v>
      </c>
      <c r="F42" s="172"/>
      <c r="G42" s="194">
        <f>+SUM(G39:G41)</f>
        <v>37560</v>
      </c>
      <c r="H42" s="172"/>
      <c r="I42" s="194">
        <f>+SUM(I39:I41)</f>
        <v>35925</v>
      </c>
      <c r="J42" s="181"/>
      <c r="K42" s="214"/>
      <c r="L42" s="181"/>
      <c r="M42" s="411"/>
      <c r="N42" s="214"/>
      <c r="O42" s="411"/>
      <c r="P42" s="214"/>
      <c r="Q42"/>
      <c r="R42"/>
      <c r="S42"/>
    </row>
    <row r="43" spans="5:19" ht="6" customHeight="1" thickTop="1">
      <c r="E43" s="42"/>
      <c r="G43" s="42"/>
      <c r="I43" s="42"/>
      <c r="J43" s="7"/>
      <c r="K43" s="75"/>
      <c r="L43" s="7"/>
      <c r="M43" s="411"/>
      <c r="N43" s="75"/>
      <c r="O43" s="411"/>
      <c r="P43" s="75"/>
      <c r="Q43"/>
      <c r="R43"/>
      <c r="S43"/>
    </row>
    <row r="44" spans="3:19" ht="19.5" customHeight="1">
      <c r="C44" s="587" t="s">
        <v>288</v>
      </c>
      <c r="D44" s="181"/>
      <c r="E44" s="269" t="s">
        <v>504</v>
      </c>
      <c r="F44" s="181"/>
      <c r="G44" s="269" t="s">
        <v>370</v>
      </c>
      <c r="H44" s="181"/>
      <c r="I44" s="269" t="s">
        <v>370</v>
      </c>
      <c r="J44" s="181"/>
      <c r="K44" s="269"/>
      <c r="L44" s="181"/>
      <c r="M44" s="411"/>
      <c r="N44" s="269"/>
      <c r="O44" s="411"/>
      <c r="P44" s="269"/>
      <c r="Q44"/>
      <c r="R44"/>
      <c r="S44"/>
    </row>
    <row r="45" spans="3:19" ht="10.5" customHeight="1">
      <c r="C45" s="181" t="s">
        <v>202</v>
      </c>
      <c r="D45" s="181"/>
      <c r="E45" s="397">
        <v>0.057</v>
      </c>
      <c r="F45" s="181"/>
      <c r="G45" s="397">
        <v>0.053</v>
      </c>
      <c r="H45" s="181"/>
      <c r="I45" s="397">
        <v>0.054</v>
      </c>
      <c r="J45" s="181"/>
      <c r="K45" s="397"/>
      <c r="L45" s="181"/>
      <c r="M45" s="411"/>
      <c r="N45" s="397"/>
      <c r="O45" s="411"/>
      <c r="P45" s="397"/>
      <c r="Q45"/>
      <c r="R45"/>
      <c r="S45"/>
    </row>
    <row r="46" spans="3:18" ht="10.5" customHeight="1">
      <c r="C46" s="181" t="s">
        <v>203</v>
      </c>
      <c r="D46" s="181"/>
      <c r="E46" s="269" t="s">
        <v>71</v>
      </c>
      <c r="F46" s="181"/>
      <c r="G46" s="269" t="s">
        <v>71</v>
      </c>
      <c r="H46" s="181"/>
      <c r="I46" s="269" t="s">
        <v>71</v>
      </c>
      <c r="J46" s="181"/>
      <c r="K46" s="269"/>
      <c r="L46" s="181"/>
      <c r="M46" s="411"/>
      <c r="N46" s="269"/>
      <c r="O46" s="411"/>
      <c r="P46" s="269"/>
      <c r="Q46" s="269"/>
      <c r="R46" s="181"/>
    </row>
    <row r="47" spans="13:15" ht="12.75">
      <c r="M47"/>
      <c r="N47"/>
      <c r="O47"/>
    </row>
    <row r="61" ht="11.25">
      <c r="E61" s="578" t="s">
        <v>360</v>
      </c>
    </row>
    <row r="64" spans="3:16" ht="12.75">
      <c r="C64" s="86" t="s">
        <v>292</v>
      </c>
      <c r="D64" s="86"/>
      <c r="E64" s="40">
        <f>+E66+E41-E68</f>
        <v>1488</v>
      </c>
      <c r="G64" s="40">
        <f>+G66+G41-G68</f>
        <v>1441</v>
      </c>
      <c r="I64" s="40">
        <f>+I66+I41-I68</f>
        <v>1395</v>
      </c>
      <c r="K64" s="40"/>
      <c r="M64"/>
      <c r="N64"/>
      <c r="O64"/>
      <c r="P64"/>
    </row>
    <row r="65" spans="3:16" ht="12.75">
      <c r="C65" s="86" t="s">
        <v>291</v>
      </c>
      <c r="D65" s="86"/>
      <c r="E65" s="548">
        <v>-4</v>
      </c>
      <c r="G65" s="520">
        <v>-5</v>
      </c>
      <c r="I65" s="520">
        <v>-5</v>
      </c>
      <c r="K65" s="520"/>
      <c r="M65"/>
      <c r="N65"/>
      <c r="O65"/>
      <c r="P65"/>
    </row>
    <row r="66" spans="3:16" ht="12.75">
      <c r="C66" s="86" t="s">
        <v>290</v>
      </c>
      <c r="D66" s="86"/>
      <c r="E66" s="548">
        <v>751</v>
      </c>
      <c r="G66" s="520">
        <v>740</v>
      </c>
      <c r="I66" s="520">
        <v>727</v>
      </c>
      <c r="K66" s="520"/>
      <c r="M66"/>
      <c r="N66"/>
      <c r="O66"/>
      <c r="P66"/>
    </row>
    <row r="67" spans="3:16" ht="12.75">
      <c r="C67" s="86" t="s">
        <v>289</v>
      </c>
      <c r="D67" s="86"/>
      <c r="E67" s="40">
        <f>+'Consol Bal Sheet'!E24</f>
        <v>826</v>
      </c>
      <c r="G67" s="40">
        <f>+'Consol Bal Sheet'!G24</f>
        <v>804</v>
      </c>
      <c r="I67" s="40">
        <f>+'Consol Bal Sheet'!I24</f>
        <v>789</v>
      </c>
      <c r="K67" s="40"/>
      <c r="M67"/>
      <c r="N67"/>
      <c r="O67"/>
      <c r="P67"/>
    </row>
    <row r="68" spans="3:16" ht="12.75">
      <c r="C68" s="501" t="s">
        <v>331</v>
      </c>
      <c r="D68" s="501"/>
      <c r="E68" s="548">
        <v>12</v>
      </c>
      <c r="G68" s="520">
        <v>-14</v>
      </c>
      <c r="I68" s="520">
        <v>-7</v>
      </c>
      <c r="K68" s="520"/>
      <c r="M68"/>
      <c r="N68"/>
      <c r="O68"/>
      <c r="P68"/>
    </row>
    <row r="69" spans="3:16" ht="12.75">
      <c r="C69" s="501" t="s">
        <v>405</v>
      </c>
      <c r="D69" s="501"/>
      <c r="E69" s="548">
        <v>-9</v>
      </c>
      <c r="G69" s="85">
        <v>-15</v>
      </c>
      <c r="I69" s="85"/>
      <c r="K69" s="85"/>
      <c r="M69"/>
      <c r="N69"/>
      <c r="O69"/>
      <c r="P69"/>
    </row>
    <row r="70" spans="3:18" ht="12.75">
      <c r="C70" s="86" t="s">
        <v>131</v>
      </c>
      <c r="D70" s="86"/>
      <c r="E70" s="40">
        <f>+'Consol Bal Sheet'!E14+'Consol Bal Sheet'!E24</f>
        <v>40179</v>
      </c>
      <c r="G70" s="40">
        <f>+'Consol Bal Sheet'!G14+'Consol Bal Sheet'!G24</f>
        <v>39124</v>
      </c>
      <c r="I70" s="40">
        <f>+'Consol Bal Sheet'!I14+'Consol Bal Sheet'!I24</f>
        <v>37390</v>
      </c>
      <c r="K70" s="9"/>
      <c r="M70"/>
      <c r="N70"/>
      <c r="O70"/>
      <c r="P70"/>
      <c r="Q70" s="9"/>
      <c r="R70" s="7"/>
    </row>
    <row r="71" spans="3:18" ht="12.75">
      <c r="C71" s="86" t="s">
        <v>132</v>
      </c>
      <c r="D71" s="86"/>
      <c r="E71" s="9">
        <f>+E42+E66+E65-E68-E69</f>
        <v>39794</v>
      </c>
      <c r="G71" s="9">
        <f>+G42+G66+G65-G68-G69</f>
        <v>38324</v>
      </c>
      <c r="I71" s="9">
        <f>+I42+I66+I65-I68-I69</f>
        <v>36654</v>
      </c>
      <c r="K71" s="9"/>
      <c r="M71"/>
      <c r="N71"/>
      <c r="O71"/>
      <c r="P71"/>
      <c r="Q71" s="9"/>
      <c r="R71" s="7"/>
    </row>
    <row r="72" spans="5:18" ht="12.75">
      <c r="E72" s="467">
        <f>+E70-E71</f>
        <v>385</v>
      </c>
      <c r="G72" s="467">
        <f>+G70-G71</f>
        <v>800</v>
      </c>
      <c r="I72" s="467">
        <f>+I70-I71</f>
        <v>736</v>
      </c>
      <c r="K72" s="265"/>
      <c r="M72"/>
      <c r="N72"/>
      <c r="O72"/>
      <c r="P72"/>
      <c r="Q72" s="12"/>
      <c r="R72" s="7"/>
    </row>
    <row r="73" spans="5:18" ht="12.75">
      <c r="E73" s="40">
        <f>+E72-G72</f>
        <v>-415</v>
      </c>
      <c r="G73" s="40"/>
      <c r="I73" s="40"/>
      <c r="K73"/>
      <c r="M73"/>
      <c r="N73"/>
      <c r="O73"/>
      <c r="P73"/>
      <c r="R73" s="7"/>
    </row>
    <row r="74" spans="5:18" ht="12.75">
      <c r="E74" s="40">
        <f>+'Comprehensive Income'!H11+'Comprehensive Income'!H13</f>
        <v>-415</v>
      </c>
      <c r="G74" s="40"/>
      <c r="I74" s="40"/>
      <c r="K74"/>
      <c r="N74" s="9"/>
      <c r="R74" s="7"/>
    </row>
    <row r="75" spans="5:18" ht="12.75">
      <c r="E75" s="40">
        <f>+E73-E74</f>
        <v>0</v>
      </c>
      <c r="G75" s="40"/>
      <c r="I75" s="40"/>
      <c r="K75"/>
      <c r="R75" s="7"/>
    </row>
    <row r="76" spans="5:18" ht="11.25">
      <c r="E76" s="42"/>
      <c r="G76" s="42"/>
      <c r="I76" s="42"/>
      <c r="R76" s="7"/>
    </row>
    <row r="77" spans="5:18" ht="12.75">
      <c r="E77" s="42" t="s">
        <v>257</v>
      </c>
      <c r="G77" s="42"/>
      <c r="I77"/>
      <c r="J77"/>
      <c r="K77"/>
      <c r="L77" s="42"/>
      <c r="M77" s="42"/>
      <c r="N77" s="42"/>
      <c r="R77" s="7"/>
    </row>
    <row r="78" spans="3:17" ht="12.75">
      <c r="C78" s="86" t="s">
        <v>255</v>
      </c>
      <c r="D78" s="86"/>
      <c r="E78" s="519">
        <f>-'Consol Bal Sheet'!G45+'Consol Bal Sheet'!E45</f>
        <v>-375</v>
      </c>
      <c r="F78" s="86"/>
      <c r="G78" s="40"/>
      <c r="H78" s="86"/>
      <c r="I78"/>
      <c r="J78"/>
      <c r="K78"/>
      <c r="L78" s="42"/>
      <c r="M78" s="40"/>
      <c r="N78" s="40"/>
      <c r="O78" s="9"/>
      <c r="P78" s="9"/>
      <c r="Q78" s="9"/>
    </row>
    <row r="79" spans="5:17" ht="12.75">
      <c r="E79" s="40">
        <f>+'Comprehensive Income'!H18</f>
        <v>-375</v>
      </c>
      <c r="G79" s="40"/>
      <c r="I79"/>
      <c r="J79"/>
      <c r="K79"/>
      <c r="L79" s="40"/>
      <c r="M79" s="42"/>
      <c r="N79" s="40"/>
      <c r="O79" s="9"/>
      <c r="P79" s="9"/>
      <c r="Q79" s="9"/>
    </row>
    <row r="80" spans="5:14" ht="12.75">
      <c r="E80" s="42" t="s">
        <v>256</v>
      </c>
      <c r="G80" s="42"/>
      <c r="I80"/>
      <c r="J80"/>
      <c r="K80"/>
      <c r="L80" s="42"/>
      <c r="M80" s="42"/>
      <c r="N80" s="42"/>
    </row>
    <row r="81" spans="5:17" ht="12.75">
      <c r="E81" s="519">
        <f>-'Consol Bal Sheet'!I45+'Consol Bal Sheet'!E45</f>
        <v>-313</v>
      </c>
      <c r="G81" s="40"/>
      <c r="I81"/>
      <c r="J81"/>
      <c r="K81"/>
      <c r="L81" s="42"/>
      <c r="M81" s="40"/>
      <c r="N81" s="40"/>
      <c r="O81" s="9"/>
      <c r="Q81" s="9"/>
    </row>
    <row r="82" spans="5:17" ht="12.75">
      <c r="E82" s="40">
        <f>+'Comprehensive Income'!N18</f>
        <v>-301</v>
      </c>
      <c r="G82" s="40"/>
      <c r="I82"/>
      <c r="J82"/>
      <c r="K82"/>
      <c r="L82" s="42"/>
      <c r="M82" s="40"/>
      <c r="N82" s="40"/>
      <c r="O82" s="9"/>
      <c r="Q82" s="9"/>
    </row>
    <row r="83" spans="5:14" ht="12.75">
      <c r="E83" s="40">
        <f>+E81-E82</f>
        <v>-12</v>
      </c>
      <c r="G83" s="42" t="s">
        <v>503</v>
      </c>
      <c r="I83"/>
      <c r="J83"/>
      <c r="K83"/>
      <c r="L83" s="42"/>
      <c r="M83" s="42"/>
      <c r="N83" s="42"/>
    </row>
    <row r="84" spans="5:14" ht="12.75">
      <c r="E84" s="42" t="s">
        <v>257</v>
      </c>
      <c r="G84" s="42"/>
      <c r="I84"/>
      <c r="J84" s="42"/>
      <c r="K84" s="42"/>
      <c r="L84" s="42"/>
      <c r="M84"/>
      <c r="N84"/>
    </row>
    <row r="85" spans="3:14" ht="12.75">
      <c r="C85" s="86" t="s">
        <v>333</v>
      </c>
      <c r="D85" s="86"/>
      <c r="E85" s="40">
        <f>+'Investment Gains (Losses) '!G19</f>
        <v>-415</v>
      </c>
      <c r="G85" s="9">
        <f>+'Investment Gains (Losses) '!N19</f>
        <v>-339</v>
      </c>
      <c r="I85"/>
      <c r="J85" s="42"/>
      <c r="K85" s="42"/>
      <c r="L85" s="42"/>
      <c r="M85"/>
      <c r="N85"/>
    </row>
    <row r="86" spans="3:14" ht="12.75">
      <c r="C86" s="86" t="s">
        <v>332</v>
      </c>
      <c r="D86" s="86"/>
      <c r="E86" s="40">
        <f>+'Comprehensive Income'!H11+'Comprehensive Income'!H13</f>
        <v>-415</v>
      </c>
      <c r="G86" s="9">
        <f>+'Comprehensive Income'!N11+'Comprehensive Income'!N13</f>
        <v>-339</v>
      </c>
      <c r="I86"/>
      <c r="J86" s="42"/>
      <c r="K86" s="42"/>
      <c r="L86" s="42"/>
      <c r="M86"/>
      <c r="N86"/>
    </row>
    <row r="87" spans="5:14" ht="12.75">
      <c r="E87" s="42"/>
      <c r="G87" s="40">
        <f>+G85-G86</f>
        <v>0</v>
      </c>
      <c r="I87" s="42"/>
      <c r="J87" s="42"/>
      <c r="K87" s="42"/>
      <c r="L87" s="42"/>
      <c r="M87"/>
      <c r="N87"/>
    </row>
    <row r="88" spans="5:14" ht="12.75">
      <c r="E88" s="40"/>
      <c r="G88" s="42"/>
      <c r="I88" s="42"/>
      <c r="J88" s="42"/>
      <c r="K88" s="42"/>
      <c r="L88" s="42"/>
      <c r="M88"/>
      <c r="N88"/>
    </row>
    <row r="89" spans="5:14" ht="12.75">
      <c r="E89" s="40"/>
      <c r="M89"/>
      <c r="N89"/>
    </row>
  </sheetData>
  <mergeCells count="4">
    <mergeCell ref="A1:M1"/>
    <mergeCell ref="A2:M2"/>
    <mergeCell ref="A3:M3"/>
    <mergeCell ref="A4:M4"/>
  </mergeCells>
  <printOptions/>
  <pageMargins left="0.5" right="0.5" top="0.5" bottom="0.55" header="0.75" footer="0.3"/>
  <pageSetup horizontalDpi="600" verticalDpi="600" orientation="landscape" r:id="rId2"/>
  <headerFooter alignWithMargins="0">
    <oddFooter>&amp;L&amp;A&amp;R&amp;"Arial,Regular"&amp;8Page 17</oddFooter>
  </headerFooter>
  <drawing r:id="rId1"/>
</worksheet>
</file>

<file path=xl/worksheets/sheet2.xml><?xml version="1.0" encoding="utf-8"?>
<worksheet xmlns="http://schemas.openxmlformats.org/spreadsheetml/2006/main" xmlns:r="http://schemas.openxmlformats.org/officeDocument/2006/relationships">
  <sheetPr codeName="Sheet11"/>
  <dimension ref="A1:M41"/>
  <sheetViews>
    <sheetView workbookViewId="0" topLeftCell="A1">
      <selection activeCell="A1" sqref="A1"/>
    </sheetView>
  </sheetViews>
  <sheetFormatPr defaultColWidth="9.33203125" defaultRowHeight="12.75"/>
  <cols>
    <col min="1" max="1" width="3.33203125" style="1" customWidth="1"/>
    <col min="2" max="2" width="11.5" style="23" customWidth="1"/>
    <col min="3" max="3" width="3.33203125" style="23" customWidth="1"/>
    <col min="4" max="4" width="71.66015625" style="1" customWidth="1"/>
    <col min="5" max="5" width="18" style="1" customWidth="1"/>
    <col min="6" max="6" width="9" style="86" customWidth="1"/>
    <col min="7" max="7" width="3.83203125" style="1" customWidth="1"/>
    <col min="8" max="8" width="23.5" style="1" customWidth="1"/>
    <col min="9" max="16384" width="9" style="1" customWidth="1"/>
  </cols>
  <sheetData>
    <row r="1" spans="2:13" ht="12.75">
      <c r="B1" s="1"/>
      <c r="C1" s="1"/>
      <c r="D1" s="88" t="s">
        <v>89</v>
      </c>
      <c r="E1" s="88"/>
      <c r="F1" s="143"/>
      <c r="G1" s="66"/>
      <c r="H1" s="66"/>
      <c r="I1" s="66"/>
      <c r="J1" s="2"/>
      <c r="K1" s="2"/>
      <c r="L1" s="2"/>
      <c r="M1" s="2"/>
    </row>
    <row r="2" spans="2:9" ht="12.75">
      <c r="B2" s="1"/>
      <c r="C2" s="1"/>
      <c r="D2" s="89" t="s">
        <v>152</v>
      </c>
      <c r="E2" s="89"/>
      <c r="F2" s="143"/>
      <c r="G2" s="141"/>
      <c r="H2" s="141"/>
      <c r="I2" s="141"/>
    </row>
    <row r="3" spans="4:6" ht="12">
      <c r="D3" s="87"/>
      <c r="E3" s="87"/>
      <c r="F3" s="87"/>
    </row>
    <row r="4" ht="12"/>
    <row r="5" spans="4:6" ht="11.25" customHeight="1">
      <c r="D5" s="507"/>
      <c r="F5" s="171" t="s">
        <v>149</v>
      </c>
    </row>
    <row r="6" spans="3:9" ht="12.75">
      <c r="C6" s="208" t="s">
        <v>27</v>
      </c>
      <c r="D6" s="3" t="s">
        <v>140</v>
      </c>
      <c r="E6" s="170"/>
      <c r="F6" s="134"/>
      <c r="I6" s="135"/>
    </row>
    <row r="7" spans="3:9" ht="11.25" customHeight="1">
      <c r="C7" s="208"/>
      <c r="D7" s="136" t="s">
        <v>16</v>
      </c>
      <c r="E7" s="170"/>
      <c r="F7" s="435">
        <v>1</v>
      </c>
      <c r="I7" s="135"/>
    </row>
    <row r="8" spans="3:9" ht="11.25">
      <c r="C8" s="208"/>
      <c r="D8" s="179"/>
      <c r="F8" s="134"/>
      <c r="I8" s="135"/>
    </row>
    <row r="9" spans="3:9" ht="12.75">
      <c r="C9" s="208" t="s">
        <v>28</v>
      </c>
      <c r="D9" s="3" t="s">
        <v>29</v>
      </c>
      <c r="E9" s="3"/>
      <c r="F9" s="134"/>
      <c r="I9" s="135"/>
    </row>
    <row r="10" spans="3:9" ht="11.25" customHeight="1">
      <c r="C10" s="208"/>
      <c r="D10" s="136" t="s">
        <v>42</v>
      </c>
      <c r="E10" s="136"/>
      <c r="F10" s="435">
        <v>2</v>
      </c>
      <c r="I10" s="135"/>
    </row>
    <row r="11" spans="3:9" ht="11.25" customHeight="1">
      <c r="C11" s="208"/>
      <c r="D11" s="136" t="s">
        <v>40</v>
      </c>
      <c r="E11" s="136"/>
      <c r="F11" s="435">
        <v>3</v>
      </c>
      <c r="I11" s="135"/>
    </row>
    <row r="12" spans="3:9" ht="11.25" customHeight="1">
      <c r="C12" s="208"/>
      <c r="D12" s="136" t="s">
        <v>11</v>
      </c>
      <c r="E12" s="136"/>
      <c r="F12" s="435">
        <v>4</v>
      </c>
      <c r="I12" s="135"/>
    </row>
    <row r="13" spans="3:9" ht="11.25" customHeight="1">
      <c r="C13" s="208"/>
      <c r="D13" s="136" t="s">
        <v>216</v>
      </c>
      <c r="E13" s="136"/>
      <c r="F13" s="435" t="s">
        <v>441</v>
      </c>
      <c r="H13" s="435"/>
      <c r="I13" s="135"/>
    </row>
    <row r="14" spans="3:9" ht="11.25">
      <c r="C14" s="208"/>
      <c r="D14" s="136"/>
      <c r="E14" s="136"/>
      <c r="F14" s="435"/>
      <c r="H14" s="435"/>
      <c r="I14" s="135"/>
    </row>
    <row r="15" spans="3:9" ht="12.75">
      <c r="C15" s="208" t="s">
        <v>30</v>
      </c>
      <c r="D15" s="3" t="s">
        <v>31</v>
      </c>
      <c r="E15" s="3"/>
      <c r="F15" s="435"/>
      <c r="H15" s="435"/>
      <c r="I15" s="135"/>
    </row>
    <row r="16" spans="3:9" ht="11.25" customHeight="1">
      <c r="C16" s="208"/>
      <c r="D16" s="136" t="s">
        <v>505</v>
      </c>
      <c r="E16" s="136"/>
      <c r="F16" s="435">
        <v>7</v>
      </c>
      <c r="H16" s="435"/>
      <c r="I16" s="135"/>
    </row>
    <row r="17" spans="3:9" ht="11.25" customHeight="1">
      <c r="C17" s="208"/>
      <c r="D17" s="136" t="s">
        <v>506</v>
      </c>
      <c r="E17" s="136"/>
      <c r="F17" s="435">
        <v>8</v>
      </c>
      <c r="H17" s="435"/>
      <c r="I17" s="135"/>
    </row>
    <row r="18" spans="3:9" ht="11.25" customHeight="1">
      <c r="C18" s="208"/>
      <c r="D18" s="136" t="s">
        <v>36</v>
      </c>
      <c r="E18" s="136"/>
      <c r="F18" s="435" t="s">
        <v>421</v>
      </c>
      <c r="H18" s="435"/>
      <c r="I18" s="135"/>
    </row>
    <row r="19" spans="3:10" ht="12" customHeight="1">
      <c r="C19" s="208"/>
      <c r="D19" s="136" t="s">
        <v>319</v>
      </c>
      <c r="E19" s="136"/>
      <c r="F19" s="435">
        <v>11</v>
      </c>
      <c r="G19" s="52"/>
      <c r="H19" s="435"/>
      <c r="I19" s="52"/>
      <c r="J19" s="52"/>
    </row>
    <row r="20" spans="3:10" ht="12.75">
      <c r="C20" s="208"/>
      <c r="G20" s="52"/>
      <c r="H20" s="86"/>
      <c r="I20" s="52"/>
      <c r="J20" s="52"/>
    </row>
    <row r="21" spans="3:10" ht="12.75">
      <c r="C21" s="208" t="s">
        <v>32</v>
      </c>
      <c r="D21" s="3" t="s">
        <v>33</v>
      </c>
      <c r="E21" s="3"/>
      <c r="G21" s="52"/>
      <c r="H21" s="86"/>
      <c r="I21" s="52"/>
      <c r="J21" s="52"/>
    </row>
    <row r="22" spans="3:10" ht="11.25" customHeight="1">
      <c r="C22" s="208"/>
      <c r="D22" s="136" t="s">
        <v>182</v>
      </c>
      <c r="E22" s="3"/>
      <c r="F22" s="435">
        <v>12</v>
      </c>
      <c r="G22" s="52"/>
      <c r="H22" s="435"/>
      <c r="I22" s="52"/>
      <c r="J22" s="52"/>
    </row>
    <row r="23" spans="3:10" ht="11.25" customHeight="1">
      <c r="C23" s="208"/>
      <c r="D23" s="136" t="s">
        <v>183</v>
      </c>
      <c r="E23" s="136"/>
      <c r="F23" s="435" t="s">
        <v>422</v>
      </c>
      <c r="G23" s="52"/>
      <c r="H23" s="435"/>
      <c r="I23" s="52"/>
      <c r="J23" s="52"/>
    </row>
    <row r="24" spans="3:10" ht="11.25" customHeight="1">
      <c r="C24" s="208"/>
      <c r="D24" s="136" t="s">
        <v>51</v>
      </c>
      <c r="E24" s="137"/>
      <c r="F24" s="435">
        <v>17</v>
      </c>
      <c r="G24" s="52"/>
      <c r="H24" s="435"/>
      <c r="I24" s="52"/>
      <c r="J24" s="52"/>
    </row>
    <row r="25" spans="3:10" ht="11.25" customHeight="1">
      <c r="C25" s="208"/>
      <c r="D25" s="136" t="s">
        <v>0</v>
      </c>
      <c r="E25" s="137"/>
      <c r="F25" s="435">
        <v>18</v>
      </c>
      <c r="G25" s="52"/>
      <c r="H25" s="435"/>
      <c r="I25" s="52"/>
      <c r="J25" s="52"/>
    </row>
    <row r="26" spans="3:10" ht="11.25" customHeight="1">
      <c r="C26" s="208"/>
      <c r="D26" s="136" t="s">
        <v>50</v>
      </c>
      <c r="E26" s="138"/>
      <c r="F26" s="435">
        <v>19</v>
      </c>
      <c r="G26" s="52"/>
      <c r="H26" s="435"/>
      <c r="I26" s="52"/>
      <c r="J26" s="52"/>
    </row>
    <row r="27" spans="3:9" ht="11.25" customHeight="1">
      <c r="C27" s="208"/>
      <c r="D27" s="136" t="s">
        <v>39</v>
      </c>
      <c r="E27" s="136"/>
      <c r="F27" s="435">
        <v>20</v>
      </c>
      <c r="H27" s="435"/>
      <c r="I27" s="135"/>
    </row>
    <row r="28" spans="3:10" ht="12.75">
      <c r="C28" s="208"/>
      <c r="D28" s="137"/>
      <c r="E28" s="138"/>
      <c r="F28" s="435"/>
      <c r="G28" s="52"/>
      <c r="H28" s="435"/>
      <c r="I28" s="52"/>
      <c r="J28" s="52"/>
    </row>
    <row r="29" spans="3:10" ht="12.75">
      <c r="C29" s="208" t="s">
        <v>34</v>
      </c>
      <c r="D29" s="3" t="s">
        <v>212</v>
      </c>
      <c r="E29" s="3"/>
      <c r="F29" s="435"/>
      <c r="G29" s="52"/>
      <c r="H29" s="435"/>
      <c r="I29" s="52"/>
      <c r="J29" s="52"/>
    </row>
    <row r="30" spans="4:10" ht="11.25" customHeight="1">
      <c r="D30" s="136" t="s">
        <v>21</v>
      </c>
      <c r="E30" s="3"/>
      <c r="F30" s="435">
        <v>21</v>
      </c>
      <c r="G30" s="52"/>
      <c r="H30" s="435"/>
      <c r="I30" s="52"/>
      <c r="J30" s="52"/>
    </row>
    <row r="31" spans="4:10" ht="11.25" customHeight="1">
      <c r="D31" s="136" t="s">
        <v>313</v>
      </c>
      <c r="E31" s="3"/>
      <c r="F31" s="435">
        <v>22</v>
      </c>
      <c r="G31" s="52"/>
      <c r="H31" s="435"/>
      <c r="I31" s="52"/>
      <c r="J31" s="52"/>
    </row>
    <row r="32" spans="4:10" ht="11.25" customHeight="1">
      <c r="D32" s="136" t="s">
        <v>191</v>
      </c>
      <c r="E32" s="3"/>
      <c r="F32" s="435">
        <v>23</v>
      </c>
      <c r="G32" s="52"/>
      <c r="H32" s="435"/>
      <c r="I32" s="52"/>
      <c r="J32" s="52"/>
    </row>
    <row r="33" spans="4:10" ht="11.25" customHeight="1">
      <c r="D33" s="136" t="s">
        <v>184</v>
      </c>
      <c r="E33" s="138"/>
      <c r="F33" s="435">
        <v>24</v>
      </c>
      <c r="G33" s="52"/>
      <c r="H33" s="435"/>
      <c r="I33" s="52"/>
      <c r="J33" s="52"/>
    </row>
    <row r="34" spans="2:10" ht="12.75">
      <c r="B34" s="62"/>
      <c r="C34" s="62"/>
      <c r="D34" s="138"/>
      <c r="E34" s="138"/>
      <c r="F34" s="134"/>
      <c r="G34" s="52"/>
      <c r="H34" s="52"/>
      <c r="I34" s="52"/>
      <c r="J34" s="52"/>
    </row>
    <row r="35" spans="4:10" ht="12.75">
      <c r="D35" s="139"/>
      <c r="E35" s="139"/>
      <c r="F35" s="134"/>
      <c r="G35" s="52"/>
      <c r="H35" s="52"/>
      <c r="I35" s="52"/>
      <c r="J35" s="52"/>
    </row>
    <row r="36" spans="2:10" ht="12.75">
      <c r="B36" s="54"/>
      <c r="C36" s="54"/>
      <c r="D36" s="139"/>
      <c r="E36" s="139"/>
      <c r="F36" s="134"/>
      <c r="G36" s="52"/>
      <c r="H36" s="52"/>
      <c r="I36" s="52"/>
      <c r="J36" s="52"/>
    </row>
    <row r="37" spans="1:10" ht="12.75">
      <c r="A37" s="7"/>
      <c r="B37" s="142"/>
      <c r="C37" s="142"/>
      <c r="D37" s="140"/>
      <c r="E37" s="140"/>
      <c r="F37" s="134"/>
      <c r="G37" s="52"/>
      <c r="H37" s="52"/>
      <c r="I37" s="52"/>
      <c r="J37" s="52"/>
    </row>
    <row r="38" spans="1:10" ht="12.75">
      <c r="A38" s="7"/>
      <c r="F38" s="134"/>
      <c r="G38" s="52"/>
      <c r="H38" s="52"/>
      <c r="I38" s="52"/>
      <c r="J38" s="52"/>
    </row>
    <row r="39" spans="1:6" ht="11.25">
      <c r="A39" s="7"/>
      <c r="F39" s="134"/>
    </row>
    <row r="40" spans="1:6" ht="11.25">
      <c r="A40" s="7"/>
      <c r="F40" s="134"/>
    </row>
    <row r="41" ht="11.25">
      <c r="F41" s="134"/>
    </row>
  </sheetData>
  <hyperlinks>
    <hyperlink ref="D27" location="'Earnings per share '!A1" display="'Earnings per share '!A1"/>
    <hyperlink ref="D12" location="'Line of Business '!A1" display="- Consolidated Premiums by Line of Business"/>
    <hyperlink ref="D11" location="'Consol Bal Sheet'!A1" display="'Consol Bal Sheet'!A1"/>
    <hyperlink ref="D23" location="'Reinsurance Recoverable'!A1" display="'Reinsurance Recoverable'!A1"/>
    <hyperlink ref="D22" location="'Loss Reserve Rollforward'!A1" display="- Loss Reserve Rollforward"/>
    <hyperlink ref="D26" location="'Capital Structure'!A1" display="'Capital Structure'!A1"/>
    <hyperlink ref="D24" location="Investments!A1" display="Investments!A1"/>
    <hyperlink ref="D6" location="'Financial Highlights'!A1" display="'Financial Highlights'!A1"/>
    <hyperlink ref="D29" location="'Reconciliation GAAP'!A1" display="'Reconciliation GAAP'!A1"/>
    <hyperlink ref="D16" location="'Insurance-North American '!A1" display="'Insurance-North American '!A1"/>
    <hyperlink ref="D17" location="'Insurance-Overseas General '!A1" display="'Insurance-Overseas General '!A1"/>
    <hyperlink ref="D18" location="'Global Reinsurance '!A1" display="'Global Reinsurance '!A1"/>
    <hyperlink ref="D30" location="'Reconciliation Non-GAAP'!A1" display="- Reconciliation to Generally Accepted Accounting Principles"/>
    <hyperlink ref="D7" location="'Financial Highlights'!A1" display="- Financial Highlights"/>
    <hyperlink ref="D33" location="Glossary!A1" display="- Glossary"/>
    <hyperlink ref="D13" location="'Segment  2005 Qtr'!A1" display="- Consolidating Statement of Operations"/>
    <hyperlink ref="D25" location="'Investment Gains (Losses) '!A1" display="- Realized and Unrealized Gains (Losses)"/>
    <hyperlink ref="D31" location="'Reconciliation Book Value'!A1" display="'Reconciliation Book Value'!A1"/>
    <hyperlink ref="D10" location="'Consolidated Results'!A1" display="'Consolidated Results'!A1"/>
    <hyperlink ref="D32" location="'Comprehensive Income'!A1" display="'Comprehensive Income'!A1"/>
    <hyperlink ref="D19" location="Life!A1" display="- Life"/>
  </hyperlinks>
  <printOptions/>
  <pageMargins left="0.5" right="0.5" top="0.5" bottom="0.55" header="0.75"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codeName="Sheet30"/>
  <dimension ref="A1:AB68"/>
  <sheetViews>
    <sheetView workbookViewId="0" topLeftCell="A1">
      <selection activeCell="A1" sqref="A1:P1"/>
    </sheetView>
  </sheetViews>
  <sheetFormatPr defaultColWidth="9.33203125" defaultRowHeight="12.75"/>
  <cols>
    <col min="1" max="1" width="2.83203125" style="1" customWidth="1"/>
    <col min="2" max="2" width="5.83203125" style="1" customWidth="1"/>
    <col min="3" max="3" width="30.83203125" style="1" customWidth="1"/>
    <col min="4" max="4" width="2.83203125" style="1" customWidth="1"/>
    <col min="5" max="5" width="12.83203125" style="1" customWidth="1"/>
    <col min="6" max="6" width="1.83203125" style="1" customWidth="1"/>
    <col min="7" max="7" width="12.83203125" style="23" customWidth="1"/>
    <col min="8" max="8" width="1.83203125" style="23" customWidth="1"/>
    <col min="9" max="9" width="12.83203125" style="1" customWidth="1"/>
    <col min="10" max="11" width="2.5" style="1" customWidth="1"/>
    <col min="12" max="12" width="12.83203125" style="1" customWidth="1"/>
    <col min="13" max="13" width="1.83203125" style="23" customWidth="1"/>
    <col min="14" max="14" width="12.83203125" style="1" customWidth="1"/>
    <col min="15" max="15" width="1.83203125" style="1" customWidth="1"/>
    <col min="16" max="16" width="12.83203125" style="1" customWidth="1"/>
    <col min="17" max="16384" width="8.16015625" style="1" customWidth="1"/>
  </cols>
  <sheetData>
    <row r="1" spans="1:16" ht="12.75">
      <c r="A1" s="622" t="s">
        <v>89</v>
      </c>
      <c r="B1" s="622"/>
      <c r="C1" s="622"/>
      <c r="D1" s="622"/>
      <c r="E1" s="622"/>
      <c r="F1" s="622"/>
      <c r="G1" s="622"/>
      <c r="H1" s="622"/>
      <c r="I1" s="622"/>
      <c r="J1" s="622"/>
      <c r="K1" s="622"/>
      <c r="L1" s="622"/>
      <c r="M1" s="622"/>
      <c r="N1" s="622"/>
      <c r="O1" s="622"/>
      <c r="P1" s="622"/>
    </row>
    <row r="2" spans="1:16" ht="12.75" customHeight="1">
      <c r="A2" s="623" t="s">
        <v>1</v>
      </c>
      <c r="B2" s="623"/>
      <c r="C2" s="623"/>
      <c r="D2" s="623"/>
      <c r="E2" s="623"/>
      <c r="F2" s="623"/>
      <c r="G2" s="623"/>
      <c r="H2" s="623"/>
      <c r="I2" s="623"/>
      <c r="J2" s="623"/>
      <c r="K2" s="623"/>
      <c r="L2" s="623"/>
      <c r="M2" s="623"/>
      <c r="N2" s="623"/>
      <c r="O2" s="623"/>
      <c r="P2" s="623"/>
    </row>
    <row r="3" spans="1:16" ht="12.75" customHeight="1">
      <c r="A3" s="626" t="s">
        <v>147</v>
      </c>
      <c r="B3" s="626"/>
      <c r="C3" s="626"/>
      <c r="D3" s="626"/>
      <c r="E3" s="626"/>
      <c r="F3" s="626"/>
      <c r="G3" s="626"/>
      <c r="H3" s="626"/>
      <c r="I3" s="626"/>
      <c r="J3" s="626"/>
      <c r="K3" s="626"/>
      <c r="L3" s="626"/>
      <c r="M3" s="626"/>
      <c r="N3" s="626"/>
      <c r="O3" s="626"/>
      <c r="P3" s="626"/>
    </row>
    <row r="4" spans="1:16" ht="12.75" customHeight="1">
      <c r="A4" s="626" t="s">
        <v>163</v>
      </c>
      <c r="B4" s="626"/>
      <c r="C4" s="626"/>
      <c r="D4" s="626"/>
      <c r="E4" s="626"/>
      <c r="F4" s="626"/>
      <c r="G4" s="626"/>
      <c r="H4" s="626"/>
      <c r="I4" s="626"/>
      <c r="J4" s="626"/>
      <c r="K4" s="626"/>
      <c r="L4" s="626"/>
      <c r="M4" s="626"/>
      <c r="N4" s="626"/>
      <c r="O4" s="626"/>
      <c r="P4" s="626"/>
    </row>
    <row r="5" spans="3:15" ht="10.5" customHeight="1">
      <c r="C5" s="507"/>
      <c r="D5" s="20"/>
      <c r="E5" s="20"/>
      <c r="F5" s="20"/>
      <c r="G5" s="20"/>
      <c r="H5" s="20"/>
      <c r="I5" s="20"/>
      <c r="L5" s="7"/>
      <c r="M5" s="476"/>
      <c r="N5" s="7"/>
      <c r="O5" s="7"/>
    </row>
    <row r="6" spans="3:16" ht="11.25">
      <c r="C6" s="2"/>
      <c r="D6" s="2"/>
      <c r="E6" s="101" t="s">
        <v>439</v>
      </c>
      <c r="F6" s="101"/>
      <c r="G6" s="101"/>
      <c r="H6" s="101"/>
      <c r="I6" s="101"/>
      <c r="K6" s="2"/>
      <c r="L6" s="101" t="s">
        <v>435</v>
      </c>
      <c r="M6" s="101"/>
      <c r="N6" s="101"/>
      <c r="O6" s="101"/>
      <c r="P6" s="101"/>
    </row>
    <row r="7" spans="5:15" ht="11.25">
      <c r="E7" s="2" t="s">
        <v>170</v>
      </c>
      <c r="F7" s="2"/>
      <c r="G7" s="255" t="s">
        <v>171</v>
      </c>
      <c r="H7" s="255"/>
      <c r="L7" s="2" t="s">
        <v>170</v>
      </c>
      <c r="M7" s="2"/>
      <c r="N7" s="255" t="s">
        <v>171</v>
      </c>
      <c r="O7" s="255"/>
    </row>
    <row r="8" spans="5:16" ht="11.25">
      <c r="E8" s="2" t="s">
        <v>234</v>
      </c>
      <c r="F8" s="2"/>
      <c r="G8" s="2" t="s">
        <v>234</v>
      </c>
      <c r="H8" s="255"/>
      <c r="I8" s="255" t="s">
        <v>86</v>
      </c>
      <c r="L8" s="2" t="s">
        <v>234</v>
      </c>
      <c r="M8" s="2"/>
      <c r="N8" s="2" t="s">
        <v>234</v>
      </c>
      <c r="O8" s="255"/>
      <c r="P8" s="255" t="s">
        <v>86</v>
      </c>
    </row>
    <row r="9" spans="5:16" ht="11.25">
      <c r="E9" s="4" t="s">
        <v>235</v>
      </c>
      <c r="F9" s="4"/>
      <c r="G9" s="60" t="s">
        <v>236</v>
      </c>
      <c r="H9" s="60"/>
      <c r="I9" s="60" t="s">
        <v>172</v>
      </c>
      <c r="L9" s="4" t="s">
        <v>235</v>
      </c>
      <c r="M9" s="4"/>
      <c r="N9" s="60" t="s">
        <v>236</v>
      </c>
      <c r="O9" s="60"/>
      <c r="P9" s="60" t="s">
        <v>172</v>
      </c>
    </row>
    <row r="10" spans="7:16" ht="4.5" customHeight="1">
      <c r="G10" s="62"/>
      <c r="H10" s="62"/>
      <c r="I10" s="42"/>
      <c r="M10" s="1"/>
      <c r="N10" s="62"/>
      <c r="O10" s="62"/>
      <c r="P10" s="42"/>
    </row>
    <row r="11" spans="3:16" ht="11.25" customHeight="1">
      <c r="C11" s="179"/>
      <c r="G11" s="62"/>
      <c r="H11" s="62"/>
      <c r="I11" s="42"/>
      <c r="M11" s="1"/>
      <c r="N11" s="62"/>
      <c r="O11" s="62"/>
      <c r="P11" s="42"/>
    </row>
    <row r="12" spans="3:17" ht="12.75" customHeight="1">
      <c r="C12" s="42" t="s">
        <v>78</v>
      </c>
      <c r="D12" s="42"/>
      <c r="E12" s="31">
        <v>-63</v>
      </c>
      <c r="F12" s="45"/>
      <c r="G12" s="45">
        <v>-462</v>
      </c>
      <c r="H12" s="58"/>
      <c r="I12" s="31">
        <f>+E12+G12</f>
        <v>-525</v>
      </c>
      <c r="J12" s="42"/>
      <c r="K12" s="42"/>
      <c r="L12" s="31">
        <f>-21+E12</f>
        <v>-84</v>
      </c>
      <c r="M12" s="45"/>
      <c r="N12" s="45">
        <f>45+12+G12</f>
        <v>-405</v>
      </c>
      <c r="O12" s="58"/>
      <c r="P12" s="31">
        <f>+L12+N12</f>
        <v>-489</v>
      </c>
      <c r="Q12" s="42"/>
    </row>
    <row r="13" spans="3:16" ht="12.75" customHeight="1">
      <c r="C13" s="42" t="s">
        <v>79</v>
      </c>
      <c r="D13" s="42"/>
      <c r="E13" s="341">
        <v>51</v>
      </c>
      <c r="F13" s="341"/>
      <c r="G13" s="341">
        <v>34</v>
      </c>
      <c r="H13" s="53"/>
      <c r="I13" s="63">
        <f>+E13+G13</f>
        <v>85</v>
      </c>
      <c r="J13" s="42"/>
      <c r="K13" s="42"/>
      <c r="L13" s="341">
        <f>34+E13</f>
        <v>85</v>
      </c>
      <c r="M13" s="341"/>
      <c r="N13" s="341">
        <f>-1+G13</f>
        <v>33</v>
      </c>
      <c r="O13" s="53"/>
      <c r="P13" s="63">
        <f>+L13+N13</f>
        <v>118</v>
      </c>
    </row>
    <row r="14" spans="3:16" ht="12.75" customHeight="1">
      <c r="C14" s="42" t="s">
        <v>176</v>
      </c>
      <c r="D14" s="42"/>
      <c r="E14" s="341">
        <v>-7</v>
      </c>
      <c r="F14" s="341"/>
      <c r="G14" s="202">
        <v>0</v>
      </c>
      <c r="H14" s="394"/>
      <c r="I14" s="63">
        <f>+E14+G14</f>
        <v>-7</v>
      </c>
      <c r="J14" s="42"/>
      <c r="K14" s="42"/>
      <c r="L14" s="341">
        <f>-7+E14</f>
        <v>-14</v>
      </c>
      <c r="M14" s="341"/>
      <c r="N14" s="202">
        <f>0+G14</f>
        <v>0</v>
      </c>
      <c r="O14" s="394"/>
      <c r="P14" s="63">
        <f>+L14+N14</f>
        <v>-14</v>
      </c>
    </row>
    <row r="15" spans="3:16" ht="12.75" customHeight="1">
      <c r="C15" s="42" t="s">
        <v>193</v>
      </c>
      <c r="D15" s="42"/>
      <c r="E15" s="341">
        <v>1</v>
      </c>
      <c r="F15" s="341"/>
      <c r="G15" s="202">
        <v>0</v>
      </c>
      <c r="H15" s="394"/>
      <c r="I15" s="63">
        <f>+E15+G15</f>
        <v>1</v>
      </c>
      <c r="J15" s="42"/>
      <c r="K15" s="42"/>
      <c r="L15" s="341">
        <f>0+E15</f>
        <v>1</v>
      </c>
      <c r="M15" s="341"/>
      <c r="N15" s="202">
        <f>0+G15</f>
        <v>0</v>
      </c>
      <c r="O15" s="394"/>
      <c r="P15" s="63">
        <f>+L15+N15</f>
        <v>1</v>
      </c>
    </row>
    <row r="16" spans="3:16" ht="12.75" customHeight="1">
      <c r="C16" s="42" t="s">
        <v>141</v>
      </c>
      <c r="D16" s="42"/>
      <c r="E16" s="256">
        <v>2</v>
      </c>
      <c r="F16" s="256"/>
      <c r="G16" s="256">
        <v>13</v>
      </c>
      <c r="H16" s="256"/>
      <c r="I16" s="229">
        <f>+E16+G16</f>
        <v>15</v>
      </c>
      <c r="J16" s="42"/>
      <c r="K16" s="42"/>
      <c r="L16" s="256">
        <f>10+E16</f>
        <v>12</v>
      </c>
      <c r="M16" s="256"/>
      <c r="N16" s="256">
        <f>20+G16</f>
        <v>33</v>
      </c>
      <c r="O16" s="256"/>
      <c r="P16" s="229">
        <f>+L16+N16</f>
        <v>45</v>
      </c>
    </row>
    <row r="17" spans="3:16" ht="12.75" customHeight="1">
      <c r="C17" s="359" t="s">
        <v>410</v>
      </c>
      <c r="D17" s="42"/>
      <c r="E17" s="224">
        <f>SUM(E12:E16)</f>
        <v>-16</v>
      </c>
      <c r="F17" s="224"/>
      <c r="G17" s="224">
        <f>SUM(G12:G16)</f>
        <v>-415</v>
      </c>
      <c r="H17" s="224"/>
      <c r="I17" s="224">
        <f>SUM(I12:I16)</f>
        <v>-431</v>
      </c>
      <c r="J17" s="360"/>
      <c r="K17" s="42"/>
      <c r="L17" s="202">
        <f>SUM(L12:L16)</f>
        <v>0</v>
      </c>
      <c r="M17" s="224"/>
      <c r="N17" s="224">
        <f>SUM(N12:N16)</f>
        <v>-339</v>
      </c>
      <c r="O17" s="224"/>
      <c r="P17" s="224">
        <f>SUM(P12:P16)</f>
        <v>-339</v>
      </c>
    </row>
    <row r="18" spans="3:16" ht="12.75" customHeight="1">
      <c r="C18" s="359" t="s">
        <v>12</v>
      </c>
      <c r="D18" s="42"/>
      <c r="E18" s="395">
        <v>5</v>
      </c>
      <c r="F18" s="340"/>
      <c r="G18" s="589">
        <v>0</v>
      </c>
      <c r="H18" s="340"/>
      <c r="I18" s="229">
        <f>+E18+G18</f>
        <v>5</v>
      </c>
      <c r="J18" s="359"/>
      <c r="K18" s="42"/>
      <c r="L18" s="395">
        <f>0+E18</f>
        <v>5</v>
      </c>
      <c r="M18" s="340"/>
      <c r="N18" s="589">
        <f>0+G18</f>
        <v>0</v>
      </c>
      <c r="O18" s="340"/>
      <c r="P18" s="229">
        <f>+L18+N18</f>
        <v>5</v>
      </c>
    </row>
    <row r="19" spans="3:16" ht="12.75" customHeight="1">
      <c r="C19" s="359" t="s">
        <v>238</v>
      </c>
      <c r="D19" s="33"/>
      <c r="E19" s="224">
        <f>SUM(E17:E18)</f>
        <v>-11</v>
      </c>
      <c r="F19" s="257"/>
      <c r="G19" s="257">
        <f>SUM(G17:G18)</f>
        <v>-415</v>
      </c>
      <c r="H19" s="257"/>
      <c r="I19" s="224">
        <f>SUM(I17:I18)</f>
        <v>-426</v>
      </c>
      <c r="J19" s="360"/>
      <c r="K19" s="33"/>
      <c r="L19" s="224">
        <f>SUM(L17:L18)</f>
        <v>5</v>
      </c>
      <c r="M19" s="257"/>
      <c r="N19" s="257">
        <f>SUM(N17:N18)</f>
        <v>-339</v>
      </c>
      <c r="O19" s="257"/>
      <c r="P19" s="224">
        <f>SUM(P17:P18)</f>
        <v>-334</v>
      </c>
    </row>
    <row r="20" spans="3:16" ht="12.75" customHeight="1">
      <c r="C20" s="359" t="s">
        <v>151</v>
      </c>
      <c r="D20" s="42"/>
      <c r="E20" s="340">
        <v>4</v>
      </c>
      <c r="F20" s="257"/>
      <c r="G20" s="340">
        <v>-33</v>
      </c>
      <c r="H20" s="257"/>
      <c r="I20" s="229">
        <f>+E20+G20</f>
        <v>-29</v>
      </c>
      <c r="J20" s="359"/>
      <c r="K20" s="42"/>
      <c r="L20" s="340">
        <f>-22+E20</f>
        <v>-18</v>
      </c>
      <c r="M20" s="257"/>
      <c r="N20" s="340">
        <f>13+G20</f>
        <v>-20</v>
      </c>
      <c r="O20" s="257"/>
      <c r="P20" s="229">
        <f>+L20+N20</f>
        <v>-38</v>
      </c>
    </row>
    <row r="21" spans="3:16" ht="12.75" customHeight="1" thickBot="1">
      <c r="C21" s="359" t="s">
        <v>239</v>
      </c>
      <c r="D21" s="42"/>
      <c r="E21" s="194">
        <f>+E19-E20</f>
        <v>-15</v>
      </c>
      <c r="F21" s="212"/>
      <c r="G21" s="194">
        <f>+G19-G20</f>
        <v>-382</v>
      </c>
      <c r="H21" s="212"/>
      <c r="I21" s="194">
        <f>+I19-I20</f>
        <v>-397</v>
      </c>
      <c r="J21" s="359"/>
      <c r="K21" s="42"/>
      <c r="L21" s="194">
        <f>+L19-L20</f>
        <v>23</v>
      </c>
      <c r="M21" s="212"/>
      <c r="N21" s="194">
        <f>+N19-N20</f>
        <v>-319</v>
      </c>
      <c r="O21" s="212"/>
      <c r="P21" s="194">
        <f>+P19-P20</f>
        <v>-296</v>
      </c>
    </row>
    <row r="22" spans="3:16" ht="12" thickTop="1">
      <c r="C22" s="42"/>
      <c r="D22" s="42"/>
      <c r="E22" s="42"/>
      <c r="F22" s="42"/>
      <c r="G22" s="62"/>
      <c r="H22" s="62"/>
      <c r="I22" s="42"/>
      <c r="J22" s="42"/>
      <c r="K22" s="42"/>
      <c r="L22" s="42"/>
      <c r="M22" s="42"/>
      <c r="N22" s="62"/>
      <c r="O22" s="62"/>
      <c r="P22" s="42"/>
    </row>
    <row r="23" spans="3:23" ht="19.5" customHeight="1">
      <c r="C23" s="641" t="s">
        <v>445</v>
      </c>
      <c r="D23" s="642"/>
      <c r="E23" s="642"/>
      <c r="F23" s="642"/>
      <c r="G23" s="642"/>
      <c r="H23" s="642"/>
      <c r="I23" s="642"/>
      <c r="J23" s="642"/>
      <c r="K23" s="642"/>
      <c r="L23" s="642"/>
      <c r="M23" s="642"/>
      <c r="N23" s="642"/>
      <c r="O23" s="642"/>
      <c r="P23" s="642"/>
      <c r="R23"/>
      <c r="S23"/>
      <c r="T23"/>
      <c r="U23"/>
      <c r="V23"/>
      <c r="W23"/>
    </row>
    <row r="24" spans="3:23" ht="8.25" customHeight="1">
      <c r="C24" s="91"/>
      <c r="D24" s="91"/>
      <c r="F24" s="91"/>
      <c r="G24" s="91"/>
      <c r="H24" s="91"/>
      <c r="I24" s="91"/>
      <c r="L24" s="7"/>
      <c r="M24" s="416"/>
      <c r="N24" s="7"/>
      <c r="O24" s="7"/>
      <c r="R24"/>
      <c r="S24"/>
      <c r="T24"/>
      <c r="U24"/>
      <c r="V24"/>
      <c r="W24"/>
    </row>
    <row r="25" spans="1:23" ht="12.75">
      <c r="A25" s="42"/>
      <c r="B25" s="42"/>
      <c r="C25" s="42"/>
      <c r="D25" s="42"/>
      <c r="E25" s="101" t="s">
        <v>437</v>
      </c>
      <c r="F25" s="101"/>
      <c r="G25" s="101"/>
      <c r="H25" s="101"/>
      <c r="I25" s="101"/>
      <c r="K25" s="2"/>
      <c r="L25" s="101" t="s">
        <v>434</v>
      </c>
      <c r="M25" s="101"/>
      <c r="N25" s="101"/>
      <c r="O25" s="101"/>
      <c r="P25" s="101"/>
      <c r="R25"/>
      <c r="S25"/>
      <c r="T25"/>
      <c r="U25"/>
      <c r="V25"/>
      <c r="W25"/>
    </row>
    <row r="26" spans="1:23" ht="12.75">
      <c r="A26" s="42"/>
      <c r="B26" s="42"/>
      <c r="C26" s="42"/>
      <c r="D26" s="75"/>
      <c r="E26" s="255" t="s">
        <v>170</v>
      </c>
      <c r="F26" s="255"/>
      <c r="G26" s="255" t="s">
        <v>171</v>
      </c>
      <c r="H26" s="255"/>
      <c r="I26" s="42"/>
      <c r="J26" s="42"/>
      <c r="K26" s="42"/>
      <c r="L26" s="2" t="s">
        <v>170</v>
      </c>
      <c r="M26" s="2"/>
      <c r="N26" s="255" t="s">
        <v>171</v>
      </c>
      <c r="O26" s="255"/>
      <c r="R26"/>
      <c r="S26"/>
      <c r="T26"/>
      <c r="U26"/>
      <c r="V26"/>
      <c r="W26"/>
    </row>
    <row r="27" spans="1:23" ht="12.75">
      <c r="A27" s="42"/>
      <c r="B27" s="42"/>
      <c r="C27" s="42"/>
      <c r="D27" s="75"/>
      <c r="E27" s="255" t="s">
        <v>234</v>
      </c>
      <c r="F27" s="255"/>
      <c r="G27" s="255" t="s">
        <v>234</v>
      </c>
      <c r="H27" s="255"/>
      <c r="I27" s="255" t="s">
        <v>86</v>
      </c>
      <c r="J27" s="42"/>
      <c r="K27" s="42"/>
      <c r="L27" s="2" t="s">
        <v>234</v>
      </c>
      <c r="M27" s="2"/>
      <c r="N27" s="2" t="s">
        <v>234</v>
      </c>
      <c r="O27" s="255"/>
      <c r="P27" s="255" t="s">
        <v>86</v>
      </c>
      <c r="R27"/>
      <c r="S27"/>
      <c r="T27"/>
      <c r="U27"/>
      <c r="V27"/>
      <c r="W27"/>
    </row>
    <row r="28" spans="1:23" ht="12.75">
      <c r="A28" s="42"/>
      <c r="B28" s="42"/>
      <c r="C28" s="42"/>
      <c r="D28" s="42"/>
      <c r="E28" s="60" t="s">
        <v>240</v>
      </c>
      <c r="F28" s="60"/>
      <c r="G28" s="60" t="s">
        <v>236</v>
      </c>
      <c r="H28" s="60"/>
      <c r="I28" s="60" t="s">
        <v>172</v>
      </c>
      <c r="J28" s="42"/>
      <c r="K28" s="42"/>
      <c r="L28" s="4" t="s">
        <v>240</v>
      </c>
      <c r="M28" s="4"/>
      <c r="N28" s="60" t="s">
        <v>236</v>
      </c>
      <c r="O28" s="60"/>
      <c r="P28" s="60" t="s">
        <v>172</v>
      </c>
      <c r="R28"/>
      <c r="S28"/>
      <c r="T28"/>
      <c r="U28"/>
      <c r="V28"/>
      <c r="W28"/>
    </row>
    <row r="29" spans="1:23" ht="4.5" customHeight="1">
      <c r="A29" s="42"/>
      <c r="B29" s="42"/>
      <c r="C29" s="42"/>
      <c r="D29" s="42"/>
      <c r="E29" s="42"/>
      <c r="F29" s="42"/>
      <c r="G29" s="62"/>
      <c r="H29" s="62"/>
      <c r="I29" s="42"/>
      <c r="J29" s="42"/>
      <c r="K29" s="42"/>
      <c r="M29" s="1"/>
      <c r="N29" s="62"/>
      <c r="O29" s="62"/>
      <c r="P29" s="42"/>
      <c r="R29"/>
      <c r="S29"/>
      <c r="T29"/>
      <c r="U29"/>
      <c r="V29"/>
      <c r="W29"/>
    </row>
    <row r="30" spans="1:24" ht="12.75">
      <c r="A30" s="42"/>
      <c r="B30" s="42"/>
      <c r="C30" s="226"/>
      <c r="D30" s="42"/>
      <c r="E30" s="434"/>
      <c r="F30" s="142"/>
      <c r="G30" s="434"/>
      <c r="H30" s="142"/>
      <c r="I30" s="434"/>
      <c r="J30" s="42"/>
      <c r="K30" s="42"/>
      <c r="M30" s="1"/>
      <c r="N30" s="62"/>
      <c r="O30" s="62"/>
      <c r="P30" s="42"/>
      <c r="Q30" s="7"/>
      <c r="R30"/>
      <c r="S30"/>
      <c r="T30"/>
      <c r="U30"/>
      <c r="V30"/>
      <c r="W30"/>
      <c r="X30" s="7"/>
    </row>
    <row r="31" spans="1:28" ht="12.75" customHeight="1">
      <c r="A31" s="42"/>
      <c r="B31" s="42"/>
      <c r="C31" s="42" t="s">
        <v>78</v>
      </c>
      <c r="D31" s="42"/>
      <c r="E31" s="31">
        <v>-81</v>
      </c>
      <c r="F31" s="45"/>
      <c r="G31" s="45">
        <v>-236</v>
      </c>
      <c r="H31" s="58"/>
      <c r="I31" s="31">
        <f>+E31+G31</f>
        <v>-317</v>
      </c>
      <c r="J31" s="42"/>
      <c r="K31" s="42"/>
      <c r="L31" s="31">
        <f>-44+E31</f>
        <v>-125</v>
      </c>
      <c r="M31" s="45"/>
      <c r="N31" s="45">
        <f>-193+G31</f>
        <v>-429</v>
      </c>
      <c r="O31" s="58"/>
      <c r="P31" s="31">
        <f>+L31+N31</f>
        <v>-554</v>
      </c>
      <c r="Q31" s="333"/>
      <c r="X31" s="63"/>
      <c r="Y31" s="63"/>
      <c r="Z31" s="63"/>
      <c r="AA31" s="63"/>
      <c r="AB31" s="63"/>
    </row>
    <row r="32" spans="1:28" ht="12.75" customHeight="1">
      <c r="A32" s="42"/>
      <c r="B32" s="42"/>
      <c r="C32" s="42" t="s">
        <v>79</v>
      </c>
      <c r="D32" s="42"/>
      <c r="E32" s="341">
        <v>57</v>
      </c>
      <c r="F32" s="341"/>
      <c r="G32" s="341">
        <v>-24</v>
      </c>
      <c r="H32" s="53"/>
      <c r="I32" s="63">
        <f>+E32+G32</f>
        <v>33</v>
      </c>
      <c r="J32" s="42"/>
      <c r="K32" s="42"/>
      <c r="L32" s="341">
        <f>43+E32</f>
        <v>100</v>
      </c>
      <c r="M32" s="341"/>
      <c r="N32" s="341">
        <f>48+G32</f>
        <v>24</v>
      </c>
      <c r="O32" s="53"/>
      <c r="P32" s="63">
        <f>+L32+N32</f>
        <v>124</v>
      </c>
      <c r="Q32" s="7"/>
      <c r="X32" s="63"/>
      <c r="Y32" s="63"/>
      <c r="Z32" s="63"/>
      <c r="AA32" s="63"/>
      <c r="AB32" s="63"/>
    </row>
    <row r="33" spans="1:28" ht="12.75" customHeight="1">
      <c r="A33" s="42"/>
      <c r="B33" s="42"/>
      <c r="C33" s="42" t="s">
        <v>176</v>
      </c>
      <c r="D33" s="42"/>
      <c r="E33" s="341">
        <v>6</v>
      </c>
      <c r="F33" s="341"/>
      <c r="G33" s="202">
        <v>0</v>
      </c>
      <c r="H33" s="394"/>
      <c r="I33" s="63">
        <f>+E33+G33</f>
        <v>6</v>
      </c>
      <c r="J33" s="42"/>
      <c r="K33" s="42"/>
      <c r="L33" s="341">
        <f>11+3+E33</f>
        <v>20</v>
      </c>
      <c r="M33" s="341"/>
      <c r="N33" s="202">
        <f>0+G33</f>
        <v>0</v>
      </c>
      <c r="O33" s="394"/>
      <c r="P33" s="63">
        <f>+L33+N33</f>
        <v>20</v>
      </c>
      <c r="Q33" s="7"/>
      <c r="X33" s="63"/>
      <c r="Y33" s="63"/>
      <c r="Z33" s="63"/>
      <c r="AA33" s="63"/>
      <c r="AB33" s="63"/>
    </row>
    <row r="34" spans="1:28" ht="12.75" customHeight="1">
      <c r="A34" s="42"/>
      <c r="B34" s="42"/>
      <c r="C34" s="42" t="s">
        <v>193</v>
      </c>
      <c r="D34" s="42"/>
      <c r="E34" s="341">
        <v>-3</v>
      </c>
      <c r="F34" s="341"/>
      <c r="G34" s="202">
        <v>0</v>
      </c>
      <c r="H34" s="394"/>
      <c r="I34" s="63">
        <f>+E34+G34</f>
        <v>-3</v>
      </c>
      <c r="J34" s="42"/>
      <c r="K34" s="42"/>
      <c r="L34" s="341">
        <f>-4+E34</f>
        <v>-7</v>
      </c>
      <c r="M34" s="341"/>
      <c r="N34" s="202">
        <f>0+G34</f>
        <v>0</v>
      </c>
      <c r="O34" s="394"/>
      <c r="P34" s="63">
        <f>+L34+N34</f>
        <v>-7</v>
      </c>
      <c r="Q34" s="7"/>
      <c r="X34" s="63"/>
      <c r="Y34" s="63"/>
      <c r="Z34" s="63"/>
      <c r="AA34" s="63"/>
      <c r="AB34" s="63"/>
    </row>
    <row r="35" spans="1:28" ht="12.75" customHeight="1">
      <c r="A35" s="42"/>
      <c r="B35" s="42"/>
      <c r="C35" s="42" t="s">
        <v>141</v>
      </c>
      <c r="D35" s="42"/>
      <c r="E35" s="256">
        <v>3</v>
      </c>
      <c r="F35" s="256"/>
      <c r="G35" s="256">
        <v>-3</v>
      </c>
      <c r="H35" s="256"/>
      <c r="I35" s="229">
        <f>+E35+G35</f>
        <v>0</v>
      </c>
      <c r="J35" s="42"/>
      <c r="K35" s="42"/>
      <c r="L35" s="256">
        <f>-1+E35</f>
        <v>2</v>
      </c>
      <c r="M35" s="256"/>
      <c r="N35" s="256">
        <f>12+G35</f>
        <v>9</v>
      </c>
      <c r="O35" s="256"/>
      <c r="P35" s="229">
        <f>+L35+N35</f>
        <v>11</v>
      </c>
      <c r="Q35" s="7"/>
      <c r="X35" s="63"/>
      <c r="Y35" s="63"/>
      <c r="Z35" s="63"/>
      <c r="AA35" s="63"/>
      <c r="AB35" s="63"/>
    </row>
    <row r="36" spans="1:28" ht="12.75" customHeight="1">
      <c r="A36" s="42"/>
      <c r="B36" s="42"/>
      <c r="C36" s="359" t="s">
        <v>237</v>
      </c>
      <c r="D36" s="42"/>
      <c r="E36" s="224">
        <f>SUM(E31:E35)</f>
        <v>-18</v>
      </c>
      <c r="F36" s="224"/>
      <c r="G36" s="224">
        <f>SUM(G31:G35)</f>
        <v>-263</v>
      </c>
      <c r="H36" s="224"/>
      <c r="I36" s="224">
        <f>SUM(I31:I35)</f>
        <v>-281</v>
      </c>
      <c r="J36" s="31"/>
      <c r="K36" s="42"/>
      <c r="L36" s="224">
        <f>SUM(L31:L35)</f>
        <v>-10</v>
      </c>
      <c r="M36" s="224"/>
      <c r="N36" s="224">
        <f>SUM(N31:N35)</f>
        <v>-396</v>
      </c>
      <c r="O36" s="224"/>
      <c r="P36" s="224">
        <f>SUM(P31:P35)</f>
        <v>-406</v>
      </c>
      <c r="Q36" s="7"/>
      <c r="X36" s="63"/>
      <c r="Y36" s="63"/>
      <c r="Z36" s="63"/>
      <c r="AA36" s="63"/>
      <c r="AB36" s="63"/>
    </row>
    <row r="37" spans="1:28" ht="12.75" customHeight="1">
      <c r="A37" s="42"/>
      <c r="B37" s="42"/>
      <c r="C37" s="359" t="s">
        <v>12</v>
      </c>
      <c r="D37" s="42"/>
      <c r="E37" s="395">
        <v>11</v>
      </c>
      <c r="F37" s="340"/>
      <c r="G37" s="589">
        <v>0</v>
      </c>
      <c r="H37" s="340"/>
      <c r="I37" s="229">
        <f>+E37+G37</f>
        <v>11</v>
      </c>
      <c r="J37" s="42"/>
      <c r="K37" s="42"/>
      <c r="L37" s="395">
        <f>2-3+E37</f>
        <v>10</v>
      </c>
      <c r="M37" s="340"/>
      <c r="N37" s="589">
        <f>0+G37</f>
        <v>0</v>
      </c>
      <c r="O37" s="340"/>
      <c r="P37" s="229">
        <f>+L37+N37</f>
        <v>10</v>
      </c>
      <c r="Q37" s="7"/>
      <c r="X37" s="63"/>
      <c r="Y37" s="63"/>
      <c r="Z37" s="63"/>
      <c r="AA37" s="63"/>
      <c r="AB37" s="63"/>
    </row>
    <row r="38" spans="1:28" ht="12.75" customHeight="1">
      <c r="A38" s="42"/>
      <c r="B38" s="42"/>
      <c r="C38" s="359" t="s">
        <v>195</v>
      </c>
      <c r="D38" s="33"/>
      <c r="E38" s="224">
        <f>SUM(E36:E37)</f>
        <v>-7</v>
      </c>
      <c r="F38" s="257"/>
      <c r="G38" s="257">
        <f>SUM(G36:G37)</f>
        <v>-263</v>
      </c>
      <c r="H38" s="257"/>
      <c r="I38" s="224">
        <f>SUM(I36:I37)</f>
        <v>-270</v>
      </c>
      <c r="J38" s="360"/>
      <c r="K38" s="33"/>
      <c r="L38" s="202">
        <f>SUM(L36:L37)</f>
        <v>0</v>
      </c>
      <c r="M38" s="257"/>
      <c r="N38" s="257">
        <f>SUM(N36:N37)</f>
        <v>-396</v>
      </c>
      <c r="O38" s="257"/>
      <c r="P38" s="224">
        <f>SUM(P36:P37)</f>
        <v>-396</v>
      </c>
      <c r="Q38" s="181"/>
      <c r="X38" s="63"/>
      <c r="Y38" s="63"/>
      <c r="Z38" s="63"/>
      <c r="AA38" s="63"/>
      <c r="AB38" s="63"/>
    </row>
    <row r="39" spans="1:28" ht="12.75" customHeight="1">
      <c r="A39" s="42"/>
      <c r="B39" s="42"/>
      <c r="C39" s="359" t="s">
        <v>151</v>
      </c>
      <c r="D39" s="42"/>
      <c r="E39" s="340">
        <v>-1</v>
      </c>
      <c r="F39" s="257"/>
      <c r="G39" s="340">
        <v>-32</v>
      </c>
      <c r="H39" s="257"/>
      <c r="I39" s="229">
        <f>+E39+G39</f>
        <v>-33</v>
      </c>
      <c r="J39" s="42"/>
      <c r="K39" s="42"/>
      <c r="L39" s="340">
        <f>-1+E39</f>
        <v>-2</v>
      </c>
      <c r="M39" s="257"/>
      <c r="N39" s="340">
        <f>-35+G39</f>
        <v>-67</v>
      </c>
      <c r="O39" s="257"/>
      <c r="P39" s="229">
        <f>+L39+N39</f>
        <v>-69</v>
      </c>
      <c r="Q39" s="181"/>
      <c r="X39" s="63"/>
      <c r="Y39" s="63"/>
      <c r="Z39" s="63"/>
      <c r="AA39" s="63"/>
      <c r="AB39" s="63"/>
    </row>
    <row r="40" spans="1:28" ht="12.75" customHeight="1" thickBot="1">
      <c r="A40" s="42"/>
      <c r="B40" s="42"/>
      <c r="C40" s="359" t="s">
        <v>239</v>
      </c>
      <c r="D40" s="42"/>
      <c r="E40" s="194">
        <f>+E38-E39</f>
        <v>-6</v>
      </c>
      <c r="F40" s="212"/>
      <c r="G40" s="194">
        <f>+G38-G39</f>
        <v>-231</v>
      </c>
      <c r="H40" s="212"/>
      <c r="I40" s="194">
        <f>+I38-I39</f>
        <v>-237</v>
      </c>
      <c r="J40" s="42"/>
      <c r="K40" s="42"/>
      <c r="L40" s="194">
        <f>+L38-L39</f>
        <v>2</v>
      </c>
      <c r="M40" s="212"/>
      <c r="N40" s="194">
        <f>+N38-N39</f>
        <v>-329</v>
      </c>
      <c r="O40" s="212"/>
      <c r="P40" s="194">
        <f>+P38-P39</f>
        <v>-327</v>
      </c>
      <c r="Q40" s="181"/>
      <c r="X40" s="63"/>
      <c r="Y40" s="63"/>
      <c r="Z40" s="63"/>
      <c r="AA40" s="63"/>
      <c r="AB40" s="63"/>
    </row>
    <row r="41" spans="1:24" ht="13.5" thickTop="1">
      <c r="A41" s="42"/>
      <c r="B41" s="42"/>
      <c r="C41" s="42"/>
      <c r="D41" s="42"/>
      <c r="E41" s="42"/>
      <c r="F41" s="42"/>
      <c r="G41" s="62"/>
      <c r="H41" s="62"/>
      <c r="I41" s="42"/>
      <c r="J41" s="42"/>
      <c r="K41" s="42"/>
      <c r="L41" s="42"/>
      <c r="M41" s="42"/>
      <c r="N41" s="62"/>
      <c r="O41" s="62"/>
      <c r="P41" s="42"/>
      <c r="Q41" s="181"/>
      <c r="R41"/>
      <c r="S41"/>
      <c r="T41"/>
      <c r="U41"/>
      <c r="V41"/>
      <c r="W41"/>
      <c r="X41" s="7"/>
    </row>
    <row r="42" spans="3:24" s="238" customFormat="1" ht="18.75" customHeight="1">
      <c r="C42" s="641" t="s">
        <v>436</v>
      </c>
      <c r="D42" s="642"/>
      <c r="E42" s="642"/>
      <c r="F42" s="642"/>
      <c r="G42" s="642"/>
      <c r="H42" s="642"/>
      <c r="I42" s="642"/>
      <c r="J42" s="642"/>
      <c r="K42" s="642"/>
      <c r="L42" s="642"/>
      <c r="M42" s="642"/>
      <c r="N42" s="642"/>
      <c r="O42" s="642"/>
      <c r="P42" s="642"/>
      <c r="Q42" s="181"/>
      <c r="R42"/>
      <c r="S42"/>
      <c r="T42"/>
      <c r="U42"/>
      <c r="V42"/>
      <c r="W42"/>
      <c r="X42" s="437"/>
    </row>
    <row r="43" spans="17:24" ht="11.25">
      <c r="Q43" s="7"/>
      <c r="R43" s="7"/>
      <c r="S43" s="7"/>
      <c r="T43" s="7"/>
      <c r="U43" s="7"/>
      <c r="V43" s="7"/>
      <c r="W43" s="7"/>
      <c r="X43" s="7"/>
    </row>
    <row r="64" spans="7:14" ht="11.25">
      <c r="G64" s="23">
        <f>+G19</f>
        <v>-415</v>
      </c>
      <c r="N64" s="1">
        <f>+N17</f>
        <v>-339</v>
      </c>
    </row>
    <row r="65" spans="7:14" ht="11.25">
      <c r="G65" s="23" t="e">
        <f>+'Comprehensive Income'!H11+'Comprehensive Income'!H13+'Comprehensive Income'!#REF!</f>
        <v>#REF!</v>
      </c>
      <c r="N65" s="23" t="e">
        <f>+'Comprehensive Income'!R11+'Comprehensive Income'!R13+'Comprehensive Income'!#REF!</f>
        <v>#REF!</v>
      </c>
    </row>
    <row r="66" ht="11.25">
      <c r="N66" s="23"/>
    </row>
    <row r="67" spans="7:14" ht="11.25">
      <c r="G67" s="23">
        <f>+'Comprehensive Income'!L11+'Comprehensive Income'!L13</f>
        <v>-263</v>
      </c>
      <c r="N67" s="23">
        <f>+'Comprehensive Income'!T11+'Comprehensive Income'!T13</f>
        <v>0</v>
      </c>
    </row>
    <row r="68" spans="7:14" ht="11.25">
      <c r="G68" s="23">
        <f>+G38</f>
        <v>-263</v>
      </c>
      <c r="N68" s="1">
        <f>+N38</f>
        <v>-396</v>
      </c>
    </row>
  </sheetData>
  <mergeCells count="6">
    <mergeCell ref="C23:P23"/>
    <mergeCell ref="C42:P42"/>
    <mergeCell ref="A1:P1"/>
    <mergeCell ref="A2:P2"/>
    <mergeCell ref="A3:P3"/>
    <mergeCell ref="A4:P4"/>
  </mergeCells>
  <printOptions/>
  <pageMargins left="0.5" right="0.5" top="0.5" bottom="0.55" header="0.75" footer="0.3"/>
  <pageSetup horizontalDpi="600" verticalDpi="600" orientation="landscape" r:id="rId2"/>
  <headerFooter alignWithMargins="0">
    <oddFooter>&amp;L&amp;A&amp;R&amp;"Arial,Regular"&amp;8Page 18</oddFooter>
  </headerFooter>
  <ignoredErrors>
    <ignoredError sqref="I17 I19 P17 P19 P36 P38 I38 I36" formula="1"/>
  </ignoredErrors>
  <drawing r:id="rId1"/>
</worksheet>
</file>

<file path=xl/worksheets/sheet21.xml><?xml version="1.0" encoding="utf-8"?>
<worksheet xmlns="http://schemas.openxmlformats.org/spreadsheetml/2006/main" xmlns:r="http://schemas.openxmlformats.org/officeDocument/2006/relationships">
  <sheetPr codeName="Sheet27"/>
  <dimension ref="A1:O34"/>
  <sheetViews>
    <sheetView workbookViewId="0" topLeftCell="A1">
      <selection activeCell="A1" sqref="A1:M1"/>
    </sheetView>
  </sheetViews>
  <sheetFormatPr defaultColWidth="9.33203125" defaultRowHeight="12.75"/>
  <cols>
    <col min="1" max="1" width="2.83203125" style="1" customWidth="1"/>
    <col min="2" max="2" width="3.16015625" style="1" customWidth="1"/>
    <col min="3" max="3" width="42.83203125" style="1" customWidth="1"/>
    <col min="4" max="4" width="13.83203125" style="1" customWidth="1"/>
    <col min="5" max="5" width="2.83203125" style="1" customWidth="1"/>
    <col min="6" max="6" width="13.83203125" style="1" customWidth="1"/>
    <col min="7" max="7" width="2.83203125" style="1" customWidth="1"/>
    <col min="8" max="8" width="13.83203125" style="1" customWidth="1"/>
    <col min="9" max="9" width="2.83203125" style="1" customWidth="1"/>
    <col min="10" max="10" width="13.83203125" style="1" customWidth="1"/>
    <col min="11" max="12" width="2.83203125" style="1" customWidth="1"/>
    <col min="13" max="13" width="13.83203125" style="1" customWidth="1"/>
    <col min="14" max="14" width="2.83203125" style="1" customWidth="1"/>
    <col min="15" max="15" width="12.66015625" style="1" customWidth="1"/>
    <col min="16" max="16384" width="8.16015625" style="1" customWidth="1"/>
  </cols>
  <sheetData>
    <row r="1" spans="1:15" ht="12.75">
      <c r="A1" s="622" t="s">
        <v>89</v>
      </c>
      <c r="B1" s="622"/>
      <c r="C1" s="622"/>
      <c r="D1" s="622"/>
      <c r="E1" s="622"/>
      <c r="F1" s="622"/>
      <c r="G1" s="622"/>
      <c r="H1" s="622"/>
      <c r="I1" s="622"/>
      <c r="J1" s="622"/>
      <c r="K1" s="622"/>
      <c r="L1" s="622"/>
      <c r="M1" s="622"/>
      <c r="N1" s="159"/>
      <c r="O1" s="159"/>
    </row>
    <row r="2" spans="1:15" ht="11.25" customHeight="1">
      <c r="A2" s="643" t="s">
        <v>154</v>
      </c>
      <c r="B2" s="643"/>
      <c r="C2" s="643"/>
      <c r="D2" s="643"/>
      <c r="E2" s="643"/>
      <c r="F2" s="643"/>
      <c r="G2" s="643"/>
      <c r="H2" s="643"/>
      <c r="I2" s="643"/>
      <c r="J2" s="643"/>
      <c r="K2" s="643"/>
      <c r="L2" s="643"/>
      <c r="M2" s="643"/>
      <c r="N2" s="159"/>
      <c r="O2" s="159"/>
    </row>
    <row r="3" spans="1:15" ht="11.25" customHeight="1">
      <c r="A3" s="626" t="s">
        <v>147</v>
      </c>
      <c r="B3" s="626"/>
      <c r="C3" s="626"/>
      <c r="D3" s="626"/>
      <c r="E3" s="626"/>
      <c r="F3" s="626"/>
      <c r="G3" s="626"/>
      <c r="H3" s="626"/>
      <c r="I3" s="626"/>
      <c r="J3" s="626"/>
      <c r="K3" s="626"/>
      <c r="L3" s="626"/>
      <c r="M3" s="626"/>
      <c r="N3" s="159"/>
      <c r="O3" s="159"/>
    </row>
    <row r="4" spans="1:15" ht="11.25" customHeight="1">
      <c r="A4" s="626" t="s">
        <v>163</v>
      </c>
      <c r="B4" s="626"/>
      <c r="C4" s="626"/>
      <c r="D4" s="626"/>
      <c r="E4" s="626"/>
      <c r="F4" s="626"/>
      <c r="G4" s="626"/>
      <c r="H4" s="626"/>
      <c r="I4" s="626"/>
      <c r="J4" s="626"/>
      <c r="K4" s="626"/>
      <c r="L4" s="626"/>
      <c r="M4" s="626"/>
      <c r="N4" s="159"/>
      <c r="O4" s="159"/>
    </row>
    <row r="5" spans="3:13" ht="12">
      <c r="C5" s="507"/>
      <c r="D5" s="507"/>
      <c r="E5" s="507"/>
      <c r="G5" s="507"/>
      <c r="J5" s="7"/>
      <c r="K5" s="7"/>
      <c r="L5" s="7"/>
      <c r="M5" s="7"/>
    </row>
    <row r="6" spans="3:13" ht="11.25" customHeight="1">
      <c r="C6" s="506"/>
      <c r="D6" s="506"/>
      <c r="E6" s="506"/>
      <c r="G6" s="506"/>
      <c r="J6" s="7"/>
      <c r="K6" s="7"/>
      <c r="L6" s="7"/>
      <c r="M6" s="7"/>
    </row>
    <row r="7" spans="3:15" ht="11.25">
      <c r="C7" s="61"/>
      <c r="D7" s="221">
        <v>39263</v>
      </c>
      <c r="E7" s="61"/>
      <c r="F7" s="221">
        <v>39172</v>
      </c>
      <c r="G7" s="61"/>
      <c r="H7" s="221" t="s">
        <v>207</v>
      </c>
      <c r="I7" s="61"/>
      <c r="J7" s="221">
        <v>38717</v>
      </c>
      <c r="K7" s="61"/>
      <c r="L7" s="61"/>
      <c r="M7" s="221"/>
      <c r="O7" s="221"/>
    </row>
    <row r="8" spans="3:15" ht="11.25">
      <c r="C8" s="61"/>
      <c r="D8" s="273">
        <v>2007</v>
      </c>
      <c r="E8" s="61"/>
      <c r="F8" s="273">
        <v>2007</v>
      </c>
      <c r="G8" s="61"/>
      <c r="H8" s="273">
        <v>2006</v>
      </c>
      <c r="I8" s="61"/>
      <c r="J8" s="273">
        <v>2005</v>
      </c>
      <c r="K8" s="61"/>
      <c r="L8" s="61"/>
      <c r="M8" s="273"/>
      <c r="O8" s="273"/>
    </row>
    <row r="9" spans="3:15" ht="11.25">
      <c r="C9" s="61"/>
      <c r="D9" s="338"/>
      <c r="E9" s="61"/>
      <c r="F9" s="338"/>
      <c r="G9" s="61"/>
      <c r="H9" s="338"/>
      <c r="I9" s="61"/>
      <c r="J9" s="338"/>
      <c r="K9" s="61"/>
      <c r="L9" s="61"/>
      <c r="M9" s="122"/>
      <c r="O9" s="122"/>
    </row>
    <row r="10" spans="3:15" ht="11.25">
      <c r="C10" s="61" t="s">
        <v>77</v>
      </c>
      <c r="D10" s="250">
        <f>'Consol Bal Sheet'!E38</f>
        <v>85</v>
      </c>
      <c r="E10" s="61"/>
      <c r="F10" s="250">
        <f>'Consol Bal Sheet'!G38</f>
        <v>581</v>
      </c>
      <c r="G10" s="61"/>
      <c r="H10" s="250">
        <f>'Consol Bal Sheet'!I38</f>
        <v>578</v>
      </c>
      <c r="I10" s="61"/>
      <c r="J10" s="250">
        <v>300</v>
      </c>
      <c r="K10" s="61"/>
      <c r="L10" s="61"/>
      <c r="M10" s="250"/>
      <c r="O10" s="250"/>
    </row>
    <row r="11" spans="3:15" ht="11.25">
      <c r="C11" s="220" t="s">
        <v>248</v>
      </c>
      <c r="D11" s="341">
        <f>'Consol Bal Sheet'!E39</f>
        <v>2063</v>
      </c>
      <c r="E11" s="220"/>
      <c r="F11" s="341">
        <f>'Consol Bal Sheet'!G39</f>
        <v>2061</v>
      </c>
      <c r="G11" s="220"/>
      <c r="H11" s="341">
        <f>'Consol Bal Sheet'!I39</f>
        <v>1560</v>
      </c>
      <c r="I11" s="220"/>
      <c r="J11" s="341">
        <v>1811</v>
      </c>
      <c r="K11" s="220"/>
      <c r="L11" s="220"/>
      <c r="M11" s="392"/>
      <c r="O11" s="392"/>
    </row>
    <row r="12" spans="3:15" ht="12" thickBot="1">
      <c r="C12" s="219" t="s">
        <v>9</v>
      </c>
      <c r="D12" s="511">
        <f>+D10+D11</f>
        <v>2148</v>
      </c>
      <c r="E12" s="219"/>
      <c r="F12" s="511">
        <f>+F10+F11</f>
        <v>2642</v>
      </c>
      <c r="G12" s="219"/>
      <c r="H12" s="511">
        <f>+H10+H11</f>
        <v>2138</v>
      </c>
      <c r="I12" s="219"/>
      <c r="J12" s="511">
        <v>2111</v>
      </c>
      <c r="K12" s="219"/>
      <c r="L12" s="219"/>
      <c r="M12" s="356"/>
      <c r="O12" s="356"/>
    </row>
    <row r="13" spans="3:15" ht="12" thickTop="1">
      <c r="C13" s="220"/>
      <c r="D13" s="356"/>
      <c r="E13" s="220"/>
      <c r="F13" s="356"/>
      <c r="G13" s="220"/>
      <c r="H13" s="356"/>
      <c r="I13" s="220"/>
      <c r="J13" s="356"/>
      <c r="K13" s="220"/>
      <c r="L13" s="220"/>
      <c r="M13" s="356"/>
      <c r="O13" s="356"/>
    </row>
    <row r="14" spans="3:15" ht="13.5" customHeight="1" thickBot="1">
      <c r="C14" s="219" t="s">
        <v>392</v>
      </c>
      <c r="D14" s="512">
        <f>'Consol Bal Sheet'!E40</f>
        <v>309</v>
      </c>
      <c r="E14" s="219"/>
      <c r="F14" s="512">
        <f>'Consol Bal Sheet'!G40</f>
        <v>309</v>
      </c>
      <c r="G14" s="219"/>
      <c r="H14" s="512">
        <f>'Consol Bal Sheet'!I40</f>
        <v>309</v>
      </c>
      <c r="I14" s="219"/>
      <c r="J14" s="512">
        <v>309</v>
      </c>
      <c r="K14" s="219"/>
      <c r="L14" s="219"/>
      <c r="M14" s="356"/>
      <c r="O14" s="356"/>
    </row>
    <row r="15" spans="3:15" ht="12" thickTop="1">
      <c r="C15" s="220"/>
      <c r="D15" s="356"/>
      <c r="E15" s="220"/>
      <c r="F15" s="356"/>
      <c r="G15" s="220"/>
      <c r="H15" s="356"/>
      <c r="I15" s="220"/>
      <c r="J15" s="356"/>
      <c r="K15" s="220"/>
      <c r="L15" s="220"/>
      <c r="M15" s="356"/>
      <c r="O15" s="356"/>
    </row>
    <row r="16" spans="3:15" ht="12.75" customHeight="1">
      <c r="C16" s="220" t="s">
        <v>399</v>
      </c>
      <c r="D16" s="356">
        <v>557</v>
      </c>
      <c r="E16" s="220"/>
      <c r="F16" s="356">
        <v>557</v>
      </c>
      <c r="G16" s="220"/>
      <c r="H16" s="356">
        <v>557</v>
      </c>
      <c r="I16" s="220"/>
      <c r="J16" s="356">
        <v>557</v>
      </c>
      <c r="K16" s="220"/>
      <c r="L16" s="220"/>
      <c r="M16" s="356"/>
      <c r="O16" s="356"/>
    </row>
    <row r="17" spans="3:15" ht="12.75" customHeight="1">
      <c r="C17" s="220" t="s">
        <v>217</v>
      </c>
      <c r="D17" s="393">
        <f>'Consol Bal Sheet'!E46-'Capital Structure'!D16</f>
        <v>14627</v>
      </c>
      <c r="E17" s="220"/>
      <c r="F17" s="393">
        <f>'Consol Bal Sheet'!G46-'Capital Structure'!F16</f>
        <v>14402</v>
      </c>
      <c r="G17" s="220"/>
      <c r="H17" s="393">
        <f>'Consol Bal Sheet'!I46-'Capital Structure'!H16</f>
        <v>13721</v>
      </c>
      <c r="I17" s="220"/>
      <c r="J17" s="393">
        <v>11255</v>
      </c>
      <c r="K17" s="220"/>
      <c r="L17" s="220"/>
      <c r="M17" s="393"/>
      <c r="O17" s="393"/>
    </row>
    <row r="18" spans="3:15" ht="12.75" customHeight="1" thickBot="1">
      <c r="C18" s="220" t="s">
        <v>66</v>
      </c>
      <c r="D18" s="212">
        <f>SUM(D16:D17)</f>
        <v>15184</v>
      </c>
      <c r="E18" s="220"/>
      <c r="F18" s="212">
        <f>SUM(F16:F17)</f>
        <v>14959</v>
      </c>
      <c r="G18" s="220"/>
      <c r="H18" s="212">
        <f>SUM(H16:H17)</f>
        <v>14278</v>
      </c>
      <c r="I18" s="220"/>
      <c r="J18" s="212">
        <v>11812</v>
      </c>
      <c r="K18" s="220"/>
      <c r="L18" s="220"/>
      <c r="M18" s="213"/>
      <c r="O18" s="213"/>
    </row>
    <row r="19" spans="3:15" ht="12" thickTop="1">
      <c r="C19" s="61"/>
      <c r="D19" s="62"/>
      <c r="E19" s="61"/>
      <c r="F19" s="62"/>
      <c r="G19" s="61"/>
      <c r="H19" s="62"/>
      <c r="I19" s="61"/>
      <c r="J19" s="62"/>
      <c r="K19" s="61"/>
      <c r="L19" s="61"/>
      <c r="M19" s="142"/>
      <c r="O19" s="142"/>
    </row>
    <row r="20" spans="3:15" ht="12.75" customHeight="1">
      <c r="C20" s="61" t="s">
        <v>82</v>
      </c>
      <c r="D20" s="250">
        <f>+D18+D14+D11+D10</f>
        <v>17641</v>
      </c>
      <c r="E20" s="61"/>
      <c r="F20" s="250">
        <f>+F18+F14+F11+F10</f>
        <v>17910</v>
      </c>
      <c r="G20" s="61"/>
      <c r="H20" s="250">
        <f>+H18+H14+H11+H10</f>
        <v>16725</v>
      </c>
      <c r="I20" s="61"/>
      <c r="J20" s="250">
        <v>14232</v>
      </c>
      <c r="K20" s="61"/>
      <c r="L20" s="61"/>
      <c r="M20" s="250"/>
      <c r="O20" s="250"/>
    </row>
    <row r="21" spans="3:15" ht="11.25">
      <c r="C21" s="61" t="s">
        <v>262</v>
      </c>
      <c r="D21" s="250">
        <f>'Consol Bal Sheet'!E46-'Consol Bal Sheet'!E22</f>
        <v>12453</v>
      </c>
      <c r="E21" s="61"/>
      <c r="F21" s="250">
        <f>'Consol Bal Sheet'!G46-'Consol Bal Sheet'!G22</f>
        <v>12228</v>
      </c>
      <c r="G21" s="61"/>
      <c r="H21" s="250">
        <f>'Consol Bal Sheet'!I46-'Consol Bal Sheet'!I22</f>
        <v>11547</v>
      </c>
      <c r="I21" s="61"/>
      <c r="J21" s="250">
        <v>9109</v>
      </c>
      <c r="K21" s="61"/>
      <c r="L21" s="61"/>
      <c r="M21" s="250"/>
      <c r="O21" s="250"/>
    </row>
    <row r="22" spans="3:15" ht="9.75" customHeight="1">
      <c r="C22" s="23"/>
      <c r="D22" s="62"/>
      <c r="E22" s="23"/>
      <c r="F22" s="62"/>
      <c r="G22" s="23"/>
      <c r="H22" s="62"/>
      <c r="I22" s="23"/>
      <c r="J22" s="62"/>
      <c r="K22" s="61"/>
      <c r="L22" s="61"/>
      <c r="M22" s="142"/>
      <c r="N22" s="62"/>
      <c r="O22" s="142"/>
    </row>
    <row r="23" spans="3:15" ht="11.25">
      <c r="C23" s="193" t="s">
        <v>47</v>
      </c>
      <c r="D23" s="142"/>
      <c r="E23" s="193"/>
      <c r="F23" s="142"/>
      <c r="G23" s="193"/>
      <c r="H23" s="142"/>
      <c r="I23" s="193"/>
      <c r="J23" s="142"/>
      <c r="K23" s="193"/>
      <c r="L23" s="193"/>
      <c r="M23" s="142"/>
      <c r="N23" s="142"/>
      <c r="O23" s="142"/>
    </row>
    <row r="24" spans="3:15" ht="11.25">
      <c r="C24" s="61" t="s">
        <v>197</v>
      </c>
      <c r="D24" s="56">
        <f>+D12/D20</f>
        <v>0.1217618048863443</v>
      </c>
      <c r="E24" s="61"/>
      <c r="F24" s="56">
        <f>+F12/F20</f>
        <v>0.14751535455053044</v>
      </c>
      <c r="G24" s="61"/>
      <c r="H24" s="56">
        <f>+H12/H20</f>
        <v>0.12783258594917787</v>
      </c>
      <c r="I24" s="61"/>
      <c r="J24" s="56">
        <f>+J12/J20</f>
        <v>0.14832771219786398</v>
      </c>
      <c r="K24" s="61"/>
      <c r="L24" s="61"/>
      <c r="M24" s="56"/>
      <c r="N24" s="56"/>
      <c r="O24" s="56"/>
    </row>
    <row r="25" spans="3:15" ht="11.25" customHeight="1">
      <c r="C25" s="61" t="s">
        <v>394</v>
      </c>
      <c r="D25" s="56">
        <f>(D12+D14)/D20</f>
        <v>0.13927781871775977</v>
      </c>
      <c r="E25" s="61"/>
      <c r="F25" s="56">
        <f>(F12+F14)/F20</f>
        <v>0.1647682858738135</v>
      </c>
      <c r="G25" s="61"/>
      <c r="H25" s="56">
        <f>(H12+H14)/H20</f>
        <v>0.14630792227204784</v>
      </c>
      <c r="I25" s="61"/>
      <c r="J25" s="56">
        <f>(J12+J14)/J20</f>
        <v>0.17003934794828554</v>
      </c>
      <c r="K25" s="61"/>
      <c r="L25" s="61"/>
      <c r="M25" s="56"/>
      <c r="N25" s="56"/>
      <c r="O25" s="56"/>
    </row>
    <row r="26" spans="3:15" ht="11.25">
      <c r="C26" s="61" t="s">
        <v>196</v>
      </c>
      <c r="D26" s="56">
        <f>+D12/D21</f>
        <v>0.17248855697422308</v>
      </c>
      <c r="E26" s="61"/>
      <c r="F26" s="56">
        <f>+F12/F21</f>
        <v>0.2160614982008505</v>
      </c>
      <c r="G26" s="61"/>
      <c r="H26" s="56">
        <f>+H12/H21</f>
        <v>0.1851563176582662</v>
      </c>
      <c r="I26" s="61"/>
      <c r="J26" s="56">
        <f>+J12/J21</f>
        <v>0.23174881984850149</v>
      </c>
      <c r="K26" s="61"/>
      <c r="L26" s="61"/>
      <c r="M26" s="56"/>
      <c r="N26" s="56"/>
      <c r="O26" s="56"/>
    </row>
    <row r="27" spans="3:15" ht="22.5">
      <c r="C27" s="102" t="s">
        <v>393</v>
      </c>
      <c r="D27" s="56">
        <f>(+D12+D14)/(D21)</f>
        <v>0.1973018549747049</v>
      </c>
      <c r="E27" s="102"/>
      <c r="F27" s="56">
        <f>(+F12+F14)/(F21)</f>
        <v>0.24133137062479554</v>
      </c>
      <c r="G27" s="102"/>
      <c r="H27" s="56">
        <f>(+H12+H14)/(H21)</f>
        <v>0.21191651511215034</v>
      </c>
      <c r="I27" s="102"/>
      <c r="J27" s="56">
        <f>(+J12+J14)/(J21)</f>
        <v>0.2656713140849709</v>
      </c>
      <c r="K27" s="102"/>
      <c r="L27" s="102"/>
      <c r="M27" s="56"/>
      <c r="N27" s="56"/>
      <c r="O27" s="56"/>
    </row>
    <row r="28" spans="3:15" ht="11.25">
      <c r="C28" s="61" t="s">
        <v>38</v>
      </c>
      <c r="D28" s="56">
        <f>(+D12+D14+D16)/D20</f>
        <v>0.170851992517431</v>
      </c>
      <c r="E28" s="61"/>
      <c r="F28" s="56">
        <f>(+F12+F14+F16)/F20</f>
        <v>0.19586823003908432</v>
      </c>
      <c r="G28" s="61"/>
      <c r="H28" s="56">
        <f>(+H12+H14+H16)/H20</f>
        <v>0.17961136023916294</v>
      </c>
      <c r="I28" s="61"/>
      <c r="J28" s="56">
        <f>(+J12+J14+J16)/J20</f>
        <v>0.20917650365373805</v>
      </c>
      <c r="K28" s="61"/>
      <c r="L28" s="61"/>
      <c r="M28" s="56"/>
      <c r="N28" s="56"/>
      <c r="O28" s="56"/>
    </row>
    <row r="29" spans="3:13" ht="6.75" customHeight="1">
      <c r="C29" s="61"/>
      <c r="D29" s="61"/>
      <c r="E29" s="61"/>
      <c r="F29" s="61"/>
      <c r="G29" s="61"/>
      <c r="H29" s="61"/>
      <c r="I29" s="61"/>
      <c r="J29" s="56"/>
      <c r="K29" s="61"/>
      <c r="L29" s="61"/>
      <c r="M29" s="61"/>
    </row>
    <row r="30" spans="3:13" ht="9" customHeight="1">
      <c r="C30" s="23"/>
      <c r="D30" s="23"/>
      <c r="E30" s="23"/>
      <c r="F30" s="23"/>
      <c r="G30" s="23"/>
      <c r="H30" s="23"/>
      <c r="I30" s="23"/>
      <c r="J30" s="23"/>
      <c r="K30" s="23"/>
      <c r="L30" s="23"/>
      <c r="M30" s="61"/>
    </row>
    <row r="31" spans="3:13" s="100" customFormat="1" ht="9">
      <c r="C31" s="261" t="s">
        <v>263</v>
      </c>
      <c r="M31" s="495"/>
    </row>
    <row r="32" ht="11.25">
      <c r="M32" s="7"/>
    </row>
    <row r="33" ht="11.25">
      <c r="M33" s="7"/>
    </row>
    <row r="34" ht="11.25">
      <c r="M34" s="7"/>
    </row>
  </sheetData>
  <mergeCells count="4">
    <mergeCell ref="A1:M1"/>
    <mergeCell ref="A2:M2"/>
    <mergeCell ref="A3:M3"/>
    <mergeCell ref="A4:M4"/>
  </mergeCells>
  <printOptions/>
  <pageMargins left="0.5" right="0.5" top="0.5" bottom="0.55" header="0.75" footer="0.3"/>
  <pageSetup horizontalDpi="600" verticalDpi="600" orientation="landscape" r:id="rId2"/>
  <headerFooter alignWithMargins="0">
    <oddFooter>&amp;L&amp;A&amp;R&amp;"Arial,Regular"&amp;8Page 19</oddFooter>
  </headerFooter>
  <drawing r:id="rId1"/>
</worksheet>
</file>

<file path=xl/worksheets/sheet22.xml><?xml version="1.0" encoding="utf-8"?>
<worksheet xmlns="http://schemas.openxmlformats.org/spreadsheetml/2006/main" xmlns:r="http://schemas.openxmlformats.org/officeDocument/2006/relationships">
  <sheetPr codeName="Sheet8"/>
  <dimension ref="A1:Q43"/>
  <sheetViews>
    <sheetView workbookViewId="0" topLeftCell="A1">
      <selection activeCell="A1" sqref="A1:J1"/>
    </sheetView>
  </sheetViews>
  <sheetFormatPr defaultColWidth="9.33203125" defaultRowHeight="12.75"/>
  <cols>
    <col min="1" max="1" width="2.83203125" style="109" customWidth="1"/>
    <col min="2" max="2" width="3.33203125" style="109" customWidth="1"/>
    <col min="3" max="3" width="66.5" style="109" customWidth="1"/>
    <col min="4" max="4" width="13.83203125" style="109" customWidth="1"/>
    <col min="5" max="5" width="2.83203125" style="109" customWidth="1"/>
    <col min="6" max="6" width="13.83203125" style="109" customWidth="1"/>
    <col min="7" max="7" width="2.83203125" style="109" customWidth="1"/>
    <col min="8" max="8" width="13.83203125" style="109" customWidth="1"/>
    <col min="9" max="9" width="2.83203125" style="109" customWidth="1"/>
    <col min="10" max="10" width="13.83203125" style="109" customWidth="1"/>
    <col min="11" max="11" width="13.66015625" style="109" customWidth="1"/>
    <col min="12" max="16384" width="10.66015625" style="109" customWidth="1"/>
  </cols>
  <sheetData>
    <row r="1" spans="1:12" ht="12.75">
      <c r="A1" s="646" t="s">
        <v>89</v>
      </c>
      <c r="B1" s="646"/>
      <c r="C1" s="646"/>
      <c r="D1" s="646"/>
      <c r="E1" s="646"/>
      <c r="F1" s="646"/>
      <c r="G1" s="646"/>
      <c r="H1" s="646"/>
      <c r="I1" s="646"/>
      <c r="J1" s="646"/>
      <c r="K1" s="528"/>
      <c r="L1" s="528"/>
    </row>
    <row r="2" spans="1:12" ht="12.75" customHeight="1">
      <c r="A2" s="647" t="s">
        <v>162</v>
      </c>
      <c r="B2" s="647"/>
      <c r="C2" s="647"/>
      <c r="D2" s="647"/>
      <c r="E2" s="647"/>
      <c r="F2" s="647"/>
      <c r="G2" s="647"/>
      <c r="H2" s="647"/>
      <c r="I2" s="647"/>
      <c r="J2" s="647"/>
      <c r="K2" s="110"/>
      <c r="L2" s="110"/>
    </row>
    <row r="3" spans="1:12" ht="12.75" customHeight="1">
      <c r="A3" s="645" t="s">
        <v>205</v>
      </c>
      <c r="B3" s="645"/>
      <c r="C3" s="645"/>
      <c r="D3" s="645"/>
      <c r="E3" s="645"/>
      <c r="F3" s="645"/>
      <c r="G3" s="645"/>
      <c r="H3" s="645"/>
      <c r="I3" s="645"/>
      <c r="J3" s="645"/>
      <c r="K3" s="525"/>
      <c r="L3" s="525"/>
    </row>
    <row r="4" spans="1:12" ht="12.75" customHeight="1">
      <c r="A4" s="645" t="s">
        <v>163</v>
      </c>
      <c r="B4" s="645"/>
      <c r="C4" s="645"/>
      <c r="D4" s="645"/>
      <c r="E4" s="645"/>
      <c r="F4" s="645"/>
      <c r="G4" s="645"/>
      <c r="H4" s="645"/>
      <c r="I4" s="645"/>
      <c r="J4" s="645"/>
      <c r="K4" s="525"/>
      <c r="L4" s="525"/>
    </row>
    <row r="5" spans="2:8" ht="12">
      <c r="B5" s="110"/>
      <c r="C5" s="507"/>
      <c r="D5" s="111"/>
      <c r="E5" s="111"/>
      <c r="F5" s="111"/>
      <c r="H5" s="466"/>
    </row>
    <row r="6" spans="3:10" ht="11.25">
      <c r="C6" s="506"/>
      <c r="D6" s="157" t="s">
        <v>423</v>
      </c>
      <c r="E6" s="157"/>
      <c r="F6" s="157"/>
      <c r="H6" s="157" t="s">
        <v>425</v>
      </c>
      <c r="I6" s="157"/>
      <c r="J6" s="157"/>
    </row>
    <row r="7" spans="3:11" ht="11.25">
      <c r="C7" s="112"/>
      <c r="D7" s="113">
        <v>2007</v>
      </c>
      <c r="E7" s="113"/>
      <c r="F7" s="113">
        <v>2006</v>
      </c>
      <c r="H7" s="113">
        <v>2007</v>
      </c>
      <c r="I7" s="113"/>
      <c r="J7" s="113">
        <v>2006</v>
      </c>
      <c r="K7" s="466"/>
    </row>
    <row r="8" spans="3:11" ht="15.75" customHeight="1">
      <c r="C8" s="205" t="s">
        <v>209</v>
      </c>
      <c r="D8" s="114"/>
      <c r="E8"/>
      <c r="F8" s="167"/>
      <c r="H8" s="114"/>
      <c r="I8"/>
      <c r="J8" s="167"/>
      <c r="K8" s="466"/>
    </row>
    <row r="9" spans="3:17" ht="12.75">
      <c r="C9" s="1" t="s">
        <v>338</v>
      </c>
      <c r="D9" s="250">
        <f>+'Financial Highlights'!E101</f>
        <v>664</v>
      </c>
      <c r="E9" s="385"/>
      <c r="F9" s="250">
        <f>+'Financial Highlights'!G20</f>
        <v>579</v>
      </c>
      <c r="G9" s="389"/>
      <c r="H9" s="250">
        <f>'Financial Highlights'!L20</f>
        <v>1327</v>
      </c>
      <c r="I9" s="385"/>
      <c r="J9" s="250">
        <f>+'Financial Highlights'!N20</f>
        <v>1056</v>
      </c>
      <c r="K9" s="116"/>
      <c r="M9" s="115"/>
      <c r="N9" s="115"/>
      <c r="O9" s="115"/>
      <c r="P9" s="115"/>
      <c r="Q9" s="115"/>
    </row>
    <row r="10" spans="3:17" ht="12.75">
      <c r="C10" s="116" t="s">
        <v>178</v>
      </c>
      <c r="D10" s="256">
        <v>-11</v>
      </c>
      <c r="E10" s="385"/>
      <c r="F10" s="390">
        <v>-11</v>
      </c>
      <c r="G10" s="389"/>
      <c r="H10" s="256">
        <f>-11+D10</f>
        <v>-22</v>
      </c>
      <c r="I10" s="385"/>
      <c r="J10" s="390">
        <v>-22</v>
      </c>
      <c r="K10" s="116"/>
      <c r="M10" s="115"/>
      <c r="N10" s="115"/>
      <c r="O10" s="115"/>
      <c r="P10" s="115"/>
      <c r="Q10" s="115"/>
    </row>
    <row r="11" spans="3:14" ht="11.25" customHeight="1">
      <c r="C11" s="504" t="s">
        <v>340</v>
      </c>
      <c r="D11" s="46">
        <f>SUM(D9:D10)</f>
        <v>653</v>
      </c>
      <c r="E11" s="385"/>
      <c r="F11" s="46">
        <f>SUM(F9:F10)</f>
        <v>568</v>
      </c>
      <c r="G11" s="118"/>
      <c r="H11" s="46">
        <f>SUM(H9:H10)</f>
        <v>1305</v>
      </c>
      <c r="I11" s="385"/>
      <c r="J11" s="46">
        <f>SUM(J9:J10)</f>
        <v>1034</v>
      </c>
      <c r="K11" s="116"/>
      <c r="M11" s="115"/>
      <c r="N11" s="115"/>
    </row>
    <row r="12" spans="3:14" ht="12.75">
      <c r="C12" s="116" t="s">
        <v>179</v>
      </c>
      <c r="D12" s="256">
        <f>+'Consolidated Results'!D25-'Consolidated Results'!D26</f>
        <v>-15</v>
      </c>
      <c r="E12" s="385"/>
      <c r="F12" s="256">
        <f>+'Consolidated Results'!L25-'Consolidated Results'!L26</f>
        <v>-6</v>
      </c>
      <c r="G12" s="118"/>
      <c r="H12" s="256">
        <f>+'Consolidated Results'!N25-'Consolidated Results'!N26</f>
        <v>23</v>
      </c>
      <c r="I12" s="385"/>
      <c r="J12" s="256">
        <f>+'Consolidated Results'!P25-'Consolidated Results'!P26</f>
        <v>2</v>
      </c>
      <c r="K12" s="116"/>
      <c r="M12" s="115"/>
      <c r="N12" s="115"/>
    </row>
    <row r="13" spans="3:14" ht="13.5" customHeight="1">
      <c r="C13" s="117" t="s">
        <v>336</v>
      </c>
      <c r="D13" s="46">
        <f>+D12+D11</f>
        <v>638</v>
      </c>
      <c r="E13" s="385"/>
      <c r="F13" s="46">
        <f>+F12+F11</f>
        <v>562</v>
      </c>
      <c r="G13" s="118"/>
      <c r="H13" s="46">
        <f>+H12+H11</f>
        <v>1328</v>
      </c>
      <c r="I13" s="385"/>
      <c r="J13" s="46">
        <f>+J12+J11</f>
        <v>1036</v>
      </c>
      <c r="K13" s="116"/>
      <c r="M13" s="115"/>
      <c r="N13" s="115"/>
    </row>
    <row r="14" spans="3:14" ht="12.75">
      <c r="C14" s="201" t="s">
        <v>337</v>
      </c>
      <c r="D14" s="46">
        <f>+'Consolidated Results'!D22</f>
        <v>0</v>
      </c>
      <c r="E14" s="385"/>
      <c r="F14" s="46">
        <f>+'Consolidated Results'!L22</f>
        <v>0</v>
      </c>
      <c r="G14" s="118"/>
      <c r="H14" s="46">
        <f>+'Consolidated Results'!N27</f>
        <v>0</v>
      </c>
      <c r="I14" s="385"/>
      <c r="J14" s="46">
        <f>+'Consolidated Results'!P27</f>
        <v>4</v>
      </c>
      <c r="K14" s="116"/>
      <c r="M14" s="115"/>
      <c r="N14" s="115"/>
    </row>
    <row r="15" spans="3:14" ht="12" customHeight="1" thickBot="1">
      <c r="C15" s="116" t="s">
        <v>329</v>
      </c>
      <c r="D15" s="439">
        <f>+D13+D14</f>
        <v>638</v>
      </c>
      <c r="E15" s="440"/>
      <c r="F15" s="439">
        <f>+F13+F14</f>
        <v>562</v>
      </c>
      <c r="G15" s="441"/>
      <c r="H15" s="439">
        <f>+H13+H14</f>
        <v>1328</v>
      </c>
      <c r="I15" s="440"/>
      <c r="J15" s="439">
        <f>+J13+J14</f>
        <v>1040</v>
      </c>
      <c r="K15" s="116"/>
      <c r="M15" s="115"/>
      <c r="N15" s="115"/>
    </row>
    <row r="16" spans="3:14" ht="15.75" customHeight="1" thickTop="1">
      <c r="C16" s="206"/>
      <c r="D16" s="46"/>
      <c r="E16" s="385"/>
      <c r="F16" s="46"/>
      <c r="G16" s="146"/>
      <c r="H16" s="46"/>
      <c r="I16" s="385"/>
      <c r="J16" s="46"/>
      <c r="K16" s="116"/>
      <c r="M16" s="115"/>
      <c r="N16" s="115"/>
    </row>
    <row r="17" spans="3:14" ht="12.75">
      <c r="C17" s="205" t="s">
        <v>397</v>
      </c>
      <c r="D17" s="46"/>
      <c r="E17" s="385"/>
      <c r="F17" s="46"/>
      <c r="G17" s="146"/>
      <c r="H17" s="46"/>
      <c r="I17" s="385"/>
      <c r="J17" s="46"/>
      <c r="K17" s="116"/>
      <c r="M17" s="115"/>
      <c r="N17" s="115"/>
    </row>
    <row r="18" spans="3:14" ht="12.75">
      <c r="C18" s="116" t="s">
        <v>398</v>
      </c>
      <c r="D18" s="46">
        <v>328309225</v>
      </c>
      <c r="E18" s="385"/>
      <c r="F18" s="46">
        <v>325143060</v>
      </c>
      <c r="G18" s="118"/>
      <c r="H18" s="46">
        <v>326455468</v>
      </c>
      <c r="I18" s="385"/>
      <c r="J18" s="46">
        <v>323322586</v>
      </c>
      <c r="K18" s="116"/>
      <c r="M18" s="115"/>
      <c r="N18" s="115"/>
    </row>
    <row r="19" spans="3:14" ht="12.75">
      <c r="C19" s="116" t="s">
        <v>180</v>
      </c>
      <c r="D19" s="46">
        <v>0</v>
      </c>
      <c r="E19" s="385"/>
      <c r="F19" s="46">
        <v>26934</v>
      </c>
      <c r="G19" s="118"/>
      <c r="H19" s="46">
        <v>104162</v>
      </c>
      <c r="I19" s="385"/>
      <c r="J19" s="46">
        <v>101532</v>
      </c>
      <c r="K19" s="116"/>
      <c r="M19" s="115"/>
      <c r="N19" s="115"/>
    </row>
    <row r="20" spans="3:14" ht="12.75">
      <c r="C20" s="116" t="s">
        <v>395</v>
      </c>
      <c r="D20" s="46">
        <v>-147432</v>
      </c>
      <c r="E20" s="385"/>
      <c r="F20" s="46">
        <v>-99832</v>
      </c>
      <c r="G20" s="118"/>
      <c r="H20" s="46">
        <v>1247466</v>
      </c>
      <c r="I20" s="385"/>
      <c r="J20" s="46">
        <v>1008180</v>
      </c>
      <c r="K20" s="116"/>
      <c r="M20" s="115"/>
      <c r="N20" s="115"/>
    </row>
    <row r="21" spans="3:14" ht="12.75">
      <c r="C21" s="116" t="s">
        <v>185</v>
      </c>
      <c r="D21" s="46">
        <v>847550</v>
      </c>
      <c r="E21" s="385"/>
      <c r="F21" s="46">
        <v>301319</v>
      </c>
      <c r="G21" s="118"/>
      <c r="H21" s="46">
        <v>1202247</v>
      </c>
      <c r="I21" s="385"/>
      <c r="J21" s="46">
        <v>939183</v>
      </c>
      <c r="K21" s="116"/>
      <c r="M21" s="115"/>
      <c r="N21" s="115"/>
    </row>
    <row r="22" spans="3:14" ht="12" customHeight="1" thickBot="1">
      <c r="C22" s="116" t="s">
        <v>396</v>
      </c>
      <c r="D22" s="391">
        <f>SUM(D18:D21)</f>
        <v>329009343</v>
      </c>
      <c r="E22" s="385"/>
      <c r="F22" s="391">
        <f>SUM(F18:F21)</f>
        <v>325371481</v>
      </c>
      <c r="G22" s="118"/>
      <c r="H22" s="391">
        <f>SUM(H18:H21)</f>
        <v>329009343</v>
      </c>
      <c r="I22" s="385"/>
      <c r="J22" s="391">
        <f>SUM(J18:J21)</f>
        <v>325371481</v>
      </c>
      <c r="K22" s="116"/>
      <c r="M22" s="115"/>
      <c r="N22" s="115"/>
    </row>
    <row r="23" spans="3:14" ht="15.75" customHeight="1" thickTop="1">
      <c r="C23" s="116"/>
      <c r="D23" s="46"/>
      <c r="E23" s="385"/>
      <c r="F23" s="46"/>
      <c r="G23" s="146"/>
      <c r="H23" s="46"/>
      <c r="I23" s="385"/>
      <c r="J23" s="46"/>
      <c r="K23" s="116"/>
      <c r="L23" s="115"/>
      <c r="M23" s="115"/>
      <c r="N23" s="115"/>
    </row>
    <row r="24" spans="3:14" ht="12.75">
      <c r="C24" s="205" t="s">
        <v>210</v>
      </c>
      <c r="D24" s="357"/>
      <c r="E24" s="385"/>
      <c r="F24" s="46"/>
      <c r="G24" s="146"/>
      <c r="H24" s="357"/>
      <c r="I24" s="385"/>
      <c r="J24" s="357"/>
      <c r="K24" s="115"/>
      <c r="L24" s="115"/>
      <c r="M24" s="115"/>
      <c r="N24" s="115"/>
    </row>
    <row r="25" spans="3:14" ht="11.25" customHeight="1">
      <c r="C25" s="116" t="s">
        <v>186</v>
      </c>
      <c r="D25" s="46">
        <v>324541868.4065934</v>
      </c>
      <c r="E25" s="385"/>
      <c r="F25" s="46">
        <v>321430985</v>
      </c>
      <c r="G25" s="146"/>
      <c r="H25" s="46">
        <v>324344778.5082873</v>
      </c>
      <c r="I25" s="385"/>
      <c r="J25" s="46">
        <v>321271345</v>
      </c>
      <c r="K25" s="115"/>
      <c r="L25" s="115"/>
      <c r="M25" s="115"/>
      <c r="N25" s="115"/>
    </row>
    <row r="26" spans="3:14" ht="11.25" customHeight="1">
      <c r="C26" s="116" t="s">
        <v>187</v>
      </c>
      <c r="D26" s="390">
        <v>5531343</v>
      </c>
      <c r="E26" s="385"/>
      <c r="F26" s="390">
        <v>4699533</v>
      </c>
      <c r="G26" s="118"/>
      <c r="H26" s="390">
        <v>5313233</v>
      </c>
      <c r="I26" s="385"/>
      <c r="J26" s="390">
        <v>4960755</v>
      </c>
      <c r="K26" s="115"/>
      <c r="L26" s="115"/>
      <c r="M26" s="115"/>
      <c r="N26" s="115"/>
    </row>
    <row r="27" spans="3:14" ht="12.75" customHeight="1" thickBot="1">
      <c r="C27" s="116" t="s">
        <v>56</v>
      </c>
      <c r="D27" s="471">
        <f>SUM(D25:D26)</f>
        <v>330073211.4065934</v>
      </c>
      <c r="E27" s="385"/>
      <c r="F27" s="471">
        <f>SUM(F25:F26)</f>
        <v>326130518</v>
      </c>
      <c r="G27" s="118"/>
      <c r="H27" s="471">
        <f>SUM(H25:H26)</f>
        <v>329658011.5082873</v>
      </c>
      <c r="I27" s="385"/>
      <c r="J27" s="471">
        <f>SUM(J25:J26)</f>
        <v>326232100</v>
      </c>
      <c r="K27" s="115"/>
      <c r="L27" s="115"/>
      <c r="M27" s="115"/>
      <c r="N27" s="115"/>
    </row>
    <row r="28" spans="3:14" ht="12.75" customHeight="1" thickTop="1">
      <c r="C28" s="116"/>
      <c r="D28" s="118"/>
      <c r="E28" s="385"/>
      <c r="F28" s="118"/>
      <c r="G28" s="118"/>
      <c r="H28" s="118"/>
      <c r="I28" s="385"/>
      <c r="J28" s="118"/>
      <c r="K28" s="115"/>
      <c r="L28" s="115"/>
      <c r="M28" s="115"/>
      <c r="N28" s="115"/>
    </row>
    <row r="29" spans="3:14" ht="12.75" customHeight="1">
      <c r="C29" s="205" t="s">
        <v>4</v>
      </c>
      <c r="D29" s="118"/>
      <c r="E29" s="385"/>
      <c r="F29" s="118"/>
      <c r="G29" s="118"/>
      <c r="H29" s="118"/>
      <c r="I29" s="385"/>
      <c r="J29" s="118"/>
      <c r="K29" s="115"/>
      <c r="L29" s="115"/>
      <c r="M29" s="115"/>
      <c r="N29" s="115"/>
    </row>
    <row r="30" spans="3:14" ht="12.75" customHeight="1">
      <c r="C30" s="1" t="s">
        <v>338</v>
      </c>
      <c r="D30" s="120">
        <v>2.01</v>
      </c>
      <c r="E30" s="385"/>
      <c r="F30" s="120">
        <v>1.77</v>
      </c>
      <c r="G30" s="118"/>
      <c r="H30" s="120">
        <v>4.02</v>
      </c>
      <c r="I30" s="385"/>
      <c r="J30" s="120">
        <v>3.22</v>
      </c>
      <c r="K30" s="115"/>
      <c r="L30" s="115"/>
      <c r="M30" s="115"/>
      <c r="N30" s="115"/>
    </row>
    <row r="31" spans="3:14" ht="12.75" customHeight="1">
      <c r="C31" s="116" t="s">
        <v>179</v>
      </c>
      <c r="D31" s="121">
        <v>-0.05</v>
      </c>
      <c r="E31" s="385"/>
      <c r="F31" s="121">
        <v>-0.02</v>
      </c>
      <c r="G31" s="118"/>
      <c r="H31" s="121">
        <v>0.07</v>
      </c>
      <c r="I31" s="385"/>
      <c r="J31" s="121">
        <v>0</v>
      </c>
      <c r="K31" s="115"/>
      <c r="L31" s="115"/>
      <c r="M31" s="115"/>
      <c r="N31" s="115"/>
    </row>
    <row r="32" spans="3:14" ht="12.75" customHeight="1">
      <c r="C32" s="201" t="s">
        <v>337</v>
      </c>
      <c r="D32" s="472">
        <v>0</v>
      </c>
      <c r="E32" s="385"/>
      <c r="F32" s="472">
        <v>0</v>
      </c>
      <c r="G32" s="118"/>
      <c r="H32" s="472">
        <v>0</v>
      </c>
      <c r="I32" s="385"/>
      <c r="J32" s="472">
        <v>0.01</v>
      </c>
      <c r="K32" s="115"/>
      <c r="L32" s="115"/>
      <c r="M32" s="115"/>
      <c r="N32" s="115"/>
    </row>
    <row r="33" spans="3:14" ht="12.75" customHeight="1" thickBot="1">
      <c r="C33" s="116" t="s">
        <v>206</v>
      </c>
      <c r="D33" s="503">
        <f>SUM(D30:D32)</f>
        <v>1.9599999999999997</v>
      </c>
      <c r="E33" s="385"/>
      <c r="F33" s="503">
        <f>SUM(F30:F32)</f>
        <v>1.75</v>
      </c>
      <c r="G33" s="118"/>
      <c r="H33" s="503">
        <f>SUM(H30:H32)</f>
        <v>4.09</v>
      </c>
      <c r="I33" s="385"/>
      <c r="J33" s="503">
        <f>SUM(J30:J32)</f>
        <v>3.23</v>
      </c>
      <c r="K33" s="115"/>
      <c r="L33" s="115"/>
      <c r="M33" s="115"/>
      <c r="N33" s="115"/>
    </row>
    <row r="34" spans="3:14" ht="12.75" customHeight="1" thickTop="1">
      <c r="C34" s="207"/>
      <c r="D34" s="188"/>
      <c r="E34" s="258"/>
      <c r="F34" s="365"/>
      <c r="G34" s="118"/>
      <c r="H34" s="188"/>
      <c r="I34" s="258"/>
      <c r="J34" s="365"/>
      <c r="K34" s="115"/>
      <c r="L34" s="115"/>
      <c r="M34" s="115"/>
      <c r="N34" s="115"/>
    </row>
    <row r="35" spans="3:17" ht="12.75" customHeight="1">
      <c r="C35" s="205" t="s">
        <v>300</v>
      </c>
      <c r="D35" s="119"/>
      <c r="E35" s="258"/>
      <c r="F35" s="118"/>
      <c r="G35" s="120"/>
      <c r="H35" s="119"/>
      <c r="I35" s="258"/>
      <c r="J35" s="118"/>
      <c r="K35" s="115"/>
      <c r="L35" s="115"/>
      <c r="M35" s="115"/>
      <c r="N35" s="115"/>
      <c r="O35" s="115"/>
      <c r="P35" s="115"/>
      <c r="Q35" s="115"/>
    </row>
    <row r="36" spans="3:17" ht="12.75" customHeight="1">
      <c r="C36" s="1" t="s">
        <v>338</v>
      </c>
      <c r="D36" s="120">
        <v>1.98</v>
      </c>
      <c r="E36" s="258"/>
      <c r="F36" s="120">
        <v>1.74</v>
      </c>
      <c r="G36" s="120"/>
      <c r="H36" s="120">
        <v>3.95</v>
      </c>
      <c r="I36" s="258"/>
      <c r="J36" s="120">
        <v>3.17</v>
      </c>
      <c r="K36" s="115"/>
      <c r="L36" s="115"/>
      <c r="M36" s="115"/>
      <c r="N36" s="115"/>
      <c r="O36" s="115"/>
      <c r="P36" s="115"/>
      <c r="Q36" s="115"/>
    </row>
    <row r="37" spans="3:10" ht="12.75" customHeight="1">
      <c r="C37" s="116" t="s">
        <v>179</v>
      </c>
      <c r="D37" s="121">
        <v>-0.05</v>
      </c>
      <c r="E37" s="258"/>
      <c r="F37" s="121">
        <v>-0.02</v>
      </c>
      <c r="G37" s="121"/>
      <c r="H37" s="121">
        <v>0.07</v>
      </c>
      <c r="I37" s="258"/>
      <c r="J37" s="121">
        <v>0</v>
      </c>
    </row>
    <row r="38" spans="3:10" ht="12.75" customHeight="1">
      <c r="C38" s="201" t="s">
        <v>337</v>
      </c>
      <c r="D38" s="472">
        <v>0</v>
      </c>
      <c r="E38" s="258"/>
      <c r="F38" s="472">
        <v>0</v>
      </c>
      <c r="G38" s="121"/>
      <c r="H38" s="472">
        <v>0</v>
      </c>
      <c r="I38" s="258"/>
      <c r="J38" s="472">
        <v>0.01</v>
      </c>
    </row>
    <row r="39" spans="3:17" ht="12.75" customHeight="1" thickBot="1">
      <c r="C39" s="116" t="s">
        <v>5</v>
      </c>
      <c r="D39" s="473">
        <f>SUM(D36:D38)</f>
        <v>1.93</v>
      </c>
      <c r="E39" s="258"/>
      <c r="F39" s="473">
        <f>SUM(F36:F38)</f>
        <v>1.72</v>
      </c>
      <c r="G39" s="120"/>
      <c r="H39" s="473">
        <f>SUM(H36:H38)</f>
        <v>4.0200000000000005</v>
      </c>
      <c r="I39" s="258"/>
      <c r="J39" s="473">
        <f>SUM(J36:J38)</f>
        <v>3.1799999999999997</v>
      </c>
      <c r="K39" s="115"/>
      <c r="L39" s="115"/>
      <c r="M39" s="115"/>
      <c r="N39" s="115"/>
      <c r="O39" s="115"/>
      <c r="P39" s="115"/>
      <c r="Q39" s="115"/>
    </row>
    <row r="40" spans="3:17" ht="12.75" customHeight="1" thickTop="1">
      <c r="C40" s="186"/>
      <c r="D40" s="188"/>
      <c r="E40"/>
      <c r="F40" s="187"/>
      <c r="G40" s="118"/>
      <c r="H40" s="116"/>
      <c r="I40" s="115"/>
      <c r="J40" s="115"/>
      <c r="K40" s="115"/>
      <c r="L40" s="115"/>
      <c r="M40" s="115"/>
      <c r="N40" s="115"/>
      <c r="O40" s="115"/>
      <c r="P40" s="115"/>
      <c r="Q40" s="115"/>
    </row>
    <row r="41" spans="3:5" ht="12.75" customHeight="1">
      <c r="C41" s="532" t="str">
        <f>+'Financial Highlights'!C49</f>
        <v>(1) See page 21 Non-GAAP Financial Measures.</v>
      </c>
      <c r="D41" s="357"/>
      <c r="E41"/>
    </row>
    <row r="42" spans="3:10" ht="11.25">
      <c r="C42" s="644"/>
      <c r="D42" s="644"/>
      <c r="E42" s="644"/>
      <c r="F42" s="644"/>
      <c r="G42" s="644"/>
      <c r="H42" s="644"/>
      <c r="I42" s="644"/>
      <c r="J42" s="644"/>
    </row>
    <row r="43" spans="5:6" ht="12.75">
      <c r="E43"/>
      <c r="F43" s="436"/>
    </row>
  </sheetData>
  <mergeCells count="5">
    <mergeCell ref="C42:J42"/>
    <mergeCell ref="A4:J4"/>
    <mergeCell ref="A1:J1"/>
    <mergeCell ref="A2:J2"/>
    <mergeCell ref="A3:J3"/>
  </mergeCells>
  <hyperlinks>
    <hyperlink ref="C41" location="'Reconciliation Non-GAAP'!A1" display="'Reconciliation Non-GAAP'!A1"/>
  </hyperlinks>
  <printOptions/>
  <pageMargins left="0.5" right="0.5" top="0.5" bottom="0.55" header="0.75" footer="0.3"/>
  <pageSetup horizontalDpi="600" verticalDpi="600" orientation="landscape" r:id="rId2"/>
  <headerFooter alignWithMargins="0">
    <oddFooter>&amp;L&amp;A&amp;R&amp;"Arial,Regular"&amp;8Page 20</oddFooter>
  </headerFooter>
  <drawing r:id="rId1"/>
</worksheet>
</file>

<file path=xl/worksheets/sheet23.xml><?xml version="1.0" encoding="utf-8"?>
<worksheet xmlns="http://schemas.openxmlformats.org/spreadsheetml/2006/main" xmlns:r="http://schemas.openxmlformats.org/officeDocument/2006/relationships">
  <sheetPr codeName="Sheet31"/>
  <dimension ref="A1:V32"/>
  <sheetViews>
    <sheetView workbookViewId="0" topLeftCell="A1">
      <selection activeCell="A1" sqref="A1:L1"/>
    </sheetView>
  </sheetViews>
  <sheetFormatPr defaultColWidth="9.33203125" defaultRowHeight="12.75"/>
  <cols>
    <col min="1" max="2" width="2.83203125" style="1" customWidth="1"/>
    <col min="3" max="3" width="52.83203125" style="1" customWidth="1"/>
    <col min="4" max="8" width="8.83203125" style="1" customWidth="1"/>
    <col min="9" max="9" width="2.66015625" style="1" customWidth="1"/>
    <col min="10" max="10" width="9.83203125" style="1" customWidth="1"/>
    <col min="11" max="11" width="2.5" style="1" customWidth="1"/>
    <col min="12" max="12" width="9.83203125" style="1" customWidth="1"/>
    <col min="13" max="13" width="2.66015625" style="1" customWidth="1"/>
    <col min="14" max="14" width="9.83203125" style="1" customWidth="1"/>
    <col min="15" max="16384" width="8.16015625" style="1" customWidth="1"/>
  </cols>
  <sheetData>
    <row r="1" spans="1:16" ht="12.75">
      <c r="A1" s="622" t="s">
        <v>89</v>
      </c>
      <c r="B1" s="622"/>
      <c r="C1" s="622"/>
      <c r="D1" s="622"/>
      <c r="E1" s="622"/>
      <c r="F1" s="622"/>
      <c r="G1" s="622"/>
      <c r="H1" s="622"/>
      <c r="I1" s="622"/>
      <c r="J1" s="622"/>
      <c r="K1" s="622"/>
      <c r="L1" s="622"/>
      <c r="M1" s="346"/>
      <c r="N1" s="346"/>
      <c r="O1" s="23"/>
      <c r="P1" s="23"/>
    </row>
    <row r="2" spans="1:16" ht="12">
      <c r="A2" s="623" t="s">
        <v>20</v>
      </c>
      <c r="B2" s="623"/>
      <c r="C2" s="623"/>
      <c r="D2" s="623"/>
      <c r="E2" s="623"/>
      <c r="F2" s="623"/>
      <c r="G2" s="623"/>
      <c r="H2" s="623"/>
      <c r="I2" s="623"/>
      <c r="J2" s="623"/>
      <c r="K2" s="623"/>
      <c r="L2" s="623"/>
      <c r="M2" s="54"/>
      <c r="N2" s="54"/>
      <c r="O2" s="23"/>
      <c r="P2" s="23"/>
    </row>
    <row r="3" spans="1:16" ht="12.75" customHeight="1">
      <c r="A3" s="626" t="s">
        <v>147</v>
      </c>
      <c r="B3" s="626"/>
      <c r="C3" s="626"/>
      <c r="D3" s="626"/>
      <c r="E3" s="626"/>
      <c r="F3" s="626"/>
      <c r="G3" s="626"/>
      <c r="H3" s="626"/>
      <c r="I3" s="626"/>
      <c r="J3" s="626"/>
      <c r="K3" s="626"/>
      <c r="L3" s="626"/>
      <c r="M3" s="347"/>
      <c r="N3" s="347"/>
      <c r="O3" s="23"/>
      <c r="P3" s="23"/>
    </row>
    <row r="4" spans="1:16" ht="13.5" customHeight="1">
      <c r="A4" s="626" t="s">
        <v>163</v>
      </c>
      <c r="B4" s="626"/>
      <c r="C4" s="626"/>
      <c r="D4" s="626"/>
      <c r="E4" s="626"/>
      <c r="F4" s="626"/>
      <c r="G4" s="626"/>
      <c r="H4" s="626"/>
      <c r="I4" s="626"/>
      <c r="J4" s="626"/>
      <c r="K4" s="626"/>
      <c r="L4" s="626"/>
      <c r="M4" s="347"/>
      <c r="N4" s="347"/>
      <c r="O4" s="23"/>
      <c r="P4" s="23"/>
    </row>
    <row r="5" spans="1:11" ht="11.25" customHeight="1">
      <c r="A5" s="2"/>
      <c r="B5" s="2"/>
      <c r="C5" s="650"/>
      <c r="D5" s="650"/>
      <c r="E5" s="650"/>
      <c r="F5" s="2"/>
      <c r="G5" s="2"/>
      <c r="H5" s="2"/>
      <c r="I5" s="2"/>
      <c r="J5" s="2"/>
      <c r="K5" s="2"/>
    </row>
    <row r="6" spans="1:13" ht="12.75">
      <c r="A6" s="2"/>
      <c r="B6" s="2"/>
      <c r="C6" s="223" t="s">
        <v>45</v>
      </c>
      <c r="D6" s="223"/>
      <c r="E6" s="2"/>
      <c r="F6" s="2"/>
      <c r="G6" s="2"/>
      <c r="H6" s="2"/>
      <c r="L6" s="648"/>
      <c r="M6" s="648"/>
    </row>
    <row r="7" spans="1:14" ht="5.25" customHeight="1">
      <c r="A7" s="2"/>
      <c r="B7" s="2"/>
      <c r="C7" s="2"/>
      <c r="D7" s="2"/>
      <c r="E7" s="2"/>
      <c r="F7" s="2"/>
      <c r="G7" s="2"/>
      <c r="H7" s="2"/>
      <c r="N7" s="7"/>
    </row>
    <row r="8" spans="1:14" ht="39.75" customHeight="1">
      <c r="A8" s="2"/>
      <c r="B8" s="2"/>
      <c r="C8" s="649" t="s">
        <v>440</v>
      </c>
      <c r="D8" s="649"/>
      <c r="E8" s="649"/>
      <c r="F8" s="649"/>
      <c r="G8" s="649"/>
      <c r="H8" s="649"/>
      <c r="I8" s="649"/>
      <c r="J8" s="649"/>
      <c r="K8" s="649"/>
      <c r="L8" s="649"/>
      <c r="M8" s="633"/>
      <c r="N8" s="633"/>
    </row>
    <row r="9" spans="1:14" ht="43.5" customHeight="1">
      <c r="A9" s="2"/>
      <c r="B9" s="2"/>
      <c r="C9" s="649" t="s">
        <v>382</v>
      </c>
      <c r="D9" s="649"/>
      <c r="E9" s="649"/>
      <c r="F9" s="649"/>
      <c r="G9" s="649"/>
      <c r="H9" s="649"/>
      <c r="I9" s="649"/>
      <c r="J9" s="649"/>
      <c r="K9" s="649"/>
      <c r="L9" s="649"/>
      <c r="M9" s="633"/>
      <c r="N9" s="633"/>
    </row>
    <row r="10" spans="1:14" ht="69" customHeight="1">
      <c r="A10" s="2"/>
      <c r="B10" s="2"/>
      <c r="C10" s="649" t="s">
        <v>408</v>
      </c>
      <c r="D10" s="649"/>
      <c r="E10" s="649"/>
      <c r="F10" s="649"/>
      <c r="G10" s="649"/>
      <c r="H10" s="649"/>
      <c r="I10" s="649"/>
      <c r="J10" s="649"/>
      <c r="K10" s="649"/>
      <c r="L10" s="649"/>
      <c r="M10" s="633"/>
      <c r="N10" s="633"/>
    </row>
    <row r="11" spans="3:22" ht="12.75">
      <c r="C11" s="3"/>
      <c r="D11" s="3"/>
      <c r="E11" s="3"/>
      <c r="F11" s="3"/>
      <c r="I11" s="2"/>
      <c r="J11" s="421" t="s">
        <v>256</v>
      </c>
      <c r="K11" s="410"/>
      <c r="L11" s="421" t="s">
        <v>256</v>
      </c>
      <c r="M11" s="2"/>
      <c r="N11" s="2" t="s">
        <v>17</v>
      </c>
      <c r="O11" s="2"/>
      <c r="P11" s="5"/>
      <c r="Q11" s="2"/>
      <c r="R11" s="5"/>
      <c r="T11" s="5"/>
      <c r="V11" s="5"/>
    </row>
    <row r="12" spans="4:22" ht="11.25">
      <c r="D12" s="4" t="s">
        <v>428</v>
      </c>
      <c r="E12" s="4" t="s">
        <v>375</v>
      </c>
      <c r="F12" s="4" t="s">
        <v>361</v>
      </c>
      <c r="G12" s="4" t="s">
        <v>354</v>
      </c>
      <c r="H12" s="4" t="s">
        <v>352</v>
      </c>
      <c r="I12" s="5"/>
      <c r="J12" s="22">
        <v>2007</v>
      </c>
      <c r="K12" s="7"/>
      <c r="L12" s="22">
        <v>2006</v>
      </c>
      <c r="M12" s="5"/>
      <c r="N12" s="6">
        <v>2006</v>
      </c>
      <c r="O12" s="5"/>
      <c r="P12" s="122"/>
      <c r="Q12" s="5"/>
      <c r="R12" s="122"/>
      <c r="T12" s="122"/>
      <c r="V12" s="122"/>
    </row>
    <row r="13" spans="4:22" ht="11.25">
      <c r="D13" s="5"/>
      <c r="E13" s="5"/>
      <c r="F13" s="5"/>
      <c r="G13" s="167"/>
      <c r="H13" s="167"/>
      <c r="I13" s="5"/>
      <c r="J13" s="5"/>
      <c r="K13" s="5"/>
      <c r="L13" s="5"/>
      <c r="M13" s="5"/>
      <c r="N13" s="122"/>
      <c r="O13" s="5"/>
      <c r="P13" s="122"/>
      <c r="Q13" s="5"/>
      <c r="R13" s="122"/>
      <c r="T13" s="122"/>
      <c r="V13" s="122"/>
    </row>
    <row r="14" spans="3:22" ht="13.5" customHeight="1">
      <c r="C14" s="172" t="s">
        <v>368</v>
      </c>
      <c r="D14" s="214">
        <f>+'Segment  2007 Qtr'!Q24</f>
        <v>649</v>
      </c>
      <c r="E14" s="214">
        <v>701</v>
      </c>
      <c r="F14" s="214">
        <v>665</v>
      </c>
      <c r="G14" s="214">
        <v>578</v>
      </c>
      <c r="H14" s="214">
        <v>573</v>
      </c>
      <c r="I14" s="462"/>
      <c r="J14" s="214">
        <f>+E14+D14</f>
        <v>1350</v>
      </c>
      <c r="K14" s="462"/>
      <c r="L14" s="214">
        <v>1062</v>
      </c>
      <c r="M14" s="462"/>
      <c r="N14" s="214">
        <v>2305</v>
      </c>
      <c r="O14" s="462"/>
      <c r="P14" s="214"/>
      <c r="Q14" s="462"/>
      <c r="R14" s="214"/>
      <c r="S14" s="359"/>
      <c r="T14" s="214"/>
      <c r="V14" s="214"/>
    </row>
    <row r="15" spans="1:22" ht="12.75" customHeight="1">
      <c r="A15" s="92"/>
      <c r="B15" s="92"/>
      <c r="C15" s="15" t="s">
        <v>166</v>
      </c>
      <c r="D15" s="218">
        <f>+'Segment  2007 Qtr'!Q26</f>
        <v>-11</v>
      </c>
      <c r="E15" s="218">
        <v>16</v>
      </c>
      <c r="F15" s="218">
        <v>15</v>
      </c>
      <c r="G15" s="218">
        <v>-113</v>
      </c>
      <c r="H15" s="218">
        <v>-7</v>
      </c>
      <c r="I15" s="224"/>
      <c r="J15" s="218">
        <f>+E15+D15</f>
        <v>5</v>
      </c>
      <c r="K15" s="224"/>
      <c r="L15" s="202">
        <v>0</v>
      </c>
      <c r="M15" s="224"/>
      <c r="N15" s="218">
        <v>-98</v>
      </c>
      <c r="O15" s="224"/>
      <c r="P15" s="218"/>
      <c r="Q15" s="224"/>
      <c r="R15" s="218"/>
      <c r="S15" s="359"/>
      <c r="T15" s="218"/>
      <c r="V15" s="218"/>
    </row>
    <row r="16" spans="1:22" ht="12.75" customHeight="1">
      <c r="A16" s="92"/>
      <c r="B16" s="72"/>
      <c r="C16" s="173" t="s">
        <v>314</v>
      </c>
      <c r="D16" s="218">
        <f>+'Segment  2007 Qtr'!Q27</f>
        <v>4</v>
      </c>
      <c r="E16" s="218">
        <v>-22</v>
      </c>
      <c r="F16" s="218">
        <v>-7</v>
      </c>
      <c r="G16" s="218">
        <v>-39</v>
      </c>
      <c r="H16" s="218">
        <v>-1</v>
      </c>
      <c r="I16" s="224"/>
      <c r="J16" s="218">
        <f>+E16+D16</f>
        <v>-18</v>
      </c>
      <c r="K16" s="224"/>
      <c r="L16" s="218">
        <v>-2</v>
      </c>
      <c r="M16" s="224"/>
      <c r="N16" s="218">
        <v>-48</v>
      </c>
      <c r="O16" s="224"/>
      <c r="P16" s="218"/>
      <c r="Q16" s="224"/>
      <c r="R16" s="218"/>
      <c r="S16" s="359"/>
      <c r="T16" s="218"/>
      <c r="V16" s="218"/>
    </row>
    <row r="17" spans="1:22" ht="12.75" customHeight="1">
      <c r="A17" s="92"/>
      <c r="B17" s="72"/>
      <c r="C17" s="173" t="s">
        <v>337</v>
      </c>
      <c r="D17" s="589">
        <v>0</v>
      </c>
      <c r="E17" s="589">
        <v>0</v>
      </c>
      <c r="F17" s="589">
        <v>0</v>
      </c>
      <c r="G17" s="589">
        <v>0</v>
      </c>
      <c r="H17" s="589">
        <v>0</v>
      </c>
      <c r="I17" s="224"/>
      <c r="J17" s="589">
        <f>+E17+D17</f>
        <v>0</v>
      </c>
      <c r="K17" s="224"/>
      <c r="L17" s="218">
        <v>4</v>
      </c>
      <c r="M17" s="224"/>
      <c r="N17" s="218">
        <v>4</v>
      </c>
      <c r="O17" s="224"/>
      <c r="P17" s="218"/>
      <c r="Q17" s="224"/>
      <c r="R17" s="218"/>
      <c r="S17" s="359"/>
      <c r="T17" s="218"/>
      <c r="V17" s="218"/>
    </row>
    <row r="18" spans="1:22" ht="15.75" customHeight="1" thickBot="1">
      <c r="A18" s="92"/>
      <c r="B18" s="72"/>
      <c r="C18" s="201" t="s">
        <v>369</v>
      </c>
      <c r="D18" s="194">
        <f>+D14-D15+D16-D17</f>
        <v>664</v>
      </c>
      <c r="E18" s="194">
        <f>+E14-E15+E16-E17</f>
        <v>663</v>
      </c>
      <c r="F18" s="194">
        <f>+F14-F15+F16-F17</f>
        <v>643</v>
      </c>
      <c r="G18" s="194">
        <f>+G14-G15+G16-G17</f>
        <v>652</v>
      </c>
      <c r="H18" s="194">
        <f>+H14-H15+H16-H17</f>
        <v>579</v>
      </c>
      <c r="I18" s="388"/>
      <c r="J18" s="194">
        <f>+J14-J15+J16-J17</f>
        <v>1327</v>
      </c>
      <c r="K18" s="388"/>
      <c r="L18" s="194">
        <f>+L14-L15+L16-L17</f>
        <v>1056</v>
      </c>
      <c r="M18" s="388"/>
      <c r="N18" s="194">
        <f>+N14-N15+N16-N17</f>
        <v>2351</v>
      </c>
      <c r="O18" s="388"/>
      <c r="P18" s="214"/>
      <c r="Q18" s="388"/>
      <c r="R18" s="214"/>
      <c r="S18" s="42"/>
      <c r="T18" s="214"/>
      <c r="V18" s="214"/>
    </row>
    <row r="19" spans="1:18" ht="12.75" customHeight="1" thickTop="1">
      <c r="A19" s="92"/>
      <c r="B19" s="72"/>
      <c r="C19" s="94"/>
      <c r="D19" s="94"/>
      <c r="E19" s="94"/>
      <c r="F19" s="181"/>
      <c r="G19" s="181"/>
      <c r="H19" s="181"/>
      <c r="I19" s="52"/>
      <c r="J19" s="52"/>
      <c r="K19" s="52"/>
      <c r="L19" s="465"/>
      <c r="M19" s="52"/>
      <c r="N19" s="181"/>
      <c r="R19" s="7"/>
    </row>
    <row r="20" spans="2:14" ht="12.75" customHeight="1">
      <c r="B20" s="75"/>
      <c r="C20"/>
      <c r="D20"/>
      <c r="E20"/>
      <c r="F20"/>
      <c r="G20"/>
      <c r="H20"/>
      <c r="I20"/>
      <c r="J20"/>
      <c r="N20" s="7"/>
    </row>
    <row r="21" spans="2:14" ht="12.75" customHeight="1">
      <c r="B21" s="72"/>
      <c r="C21"/>
      <c r="D21"/>
      <c r="E21"/>
      <c r="F21"/>
      <c r="G21"/>
      <c r="H21"/>
      <c r="I21"/>
      <c r="J21"/>
      <c r="N21" s="7"/>
    </row>
    <row r="22" spans="2:14" ht="12.75" customHeight="1">
      <c r="B22" s="75"/>
      <c r="C22"/>
      <c r="D22"/>
      <c r="E22"/>
      <c r="F22"/>
      <c r="G22"/>
      <c r="H22"/>
      <c r="I22"/>
      <c r="J22"/>
      <c r="N22" s="7"/>
    </row>
    <row r="23" spans="2:10" ht="12.75" customHeight="1">
      <c r="B23" s="7"/>
      <c r="C23"/>
      <c r="D23"/>
      <c r="E23"/>
      <c r="F23"/>
      <c r="G23"/>
      <c r="H23"/>
      <c r="I23"/>
      <c r="J23"/>
    </row>
    <row r="24" spans="2:10" ht="12.75" customHeight="1">
      <c r="B24" s="7"/>
      <c r="C24"/>
      <c r="D24"/>
      <c r="E24"/>
      <c r="F24"/>
      <c r="G24"/>
      <c r="H24"/>
      <c r="I24"/>
      <c r="J24"/>
    </row>
    <row r="25" spans="2:12" ht="4.5" customHeight="1">
      <c r="B25" s="7"/>
      <c r="C25"/>
      <c r="D25"/>
      <c r="E25"/>
      <c r="F25"/>
      <c r="G25"/>
      <c r="H25"/>
      <c r="I25"/>
      <c r="J25"/>
      <c r="L25" s="505"/>
    </row>
    <row r="26" spans="2:10" ht="12.75" customHeight="1">
      <c r="B26" s="7"/>
      <c r="C26"/>
      <c r="D26"/>
      <c r="E26"/>
      <c r="F26"/>
      <c r="G26"/>
      <c r="H26"/>
      <c r="I26"/>
      <c r="J26"/>
    </row>
    <row r="27" spans="2:10" ht="12.75" customHeight="1">
      <c r="B27" s="7"/>
      <c r="C27"/>
      <c r="D27"/>
      <c r="E27"/>
      <c r="F27"/>
      <c r="G27"/>
      <c r="H27"/>
      <c r="I27"/>
      <c r="J27"/>
    </row>
    <row r="28" spans="1:10" ht="12.75" customHeight="1">
      <c r="A28" s="96"/>
      <c r="B28" s="7"/>
      <c r="C28"/>
      <c r="D28"/>
      <c r="E28"/>
      <c r="F28"/>
      <c r="G28"/>
      <c r="H28"/>
      <c r="I28"/>
      <c r="J28"/>
    </row>
    <row r="29" spans="1:10" ht="12.75" customHeight="1">
      <c r="A29" s="96"/>
      <c r="B29" s="7"/>
      <c r="C29"/>
      <c r="D29"/>
      <c r="E29"/>
      <c r="F29"/>
      <c r="G29"/>
      <c r="H29"/>
      <c r="I29"/>
      <c r="J29"/>
    </row>
    <row r="30" spans="1:10" ht="12.75" customHeight="1">
      <c r="A30" s="96"/>
      <c r="B30" s="97"/>
      <c r="C30"/>
      <c r="D30"/>
      <c r="E30"/>
      <c r="F30"/>
      <c r="G30"/>
      <c r="H30"/>
      <c r="I30"/>
      <c r="J30"/>
    </row>
    <row r="31" spans="2:11" ht="12.75" customHeight="1">
      <c r="B31" s="7"/>
      <c r="C31"/>
      <c r="D31"/>
      <c r="E31"/>
      <c r="F31"/>
      <c r="G31"/>
      <c r="H31"/>
      <c r="I31"/>
      <c r="J31"/>
      <c r="K31" s="23"/>
    </row>
    <row r="32" ht="12.75" customHeight="1">
      <c r="A32" s="96"/>
    </row>
    <row r="33" ht="12.75" customHeight="1"/>
    <row r="34" ht="12.75" customHeight="1"/>
    <row r="35" ht="12.75" customHeight="1"/>
    <row r="36" ht="12.75" customHeight="1"/>
    <row r="37" ht="12.75" customHeight="1"/>
    <row r="38" ht="12.75" customHeight="1"/>
    <row r="39" ht="12.75" customHeight="1"/>
    <row r="40" ht="12.75" customHeight="1"/>
    <row r="41" ht="12.75" customHeight="1"/>
  </sheetData>
  <mergeCells count="9">
    <mergeCell ref="C5:E5"/>
    <mergeCell ref="A1:L1"/>
    <mergeCell ref="A2:L2"/>
    <mergeCell ref="A3:L3"/>
    <mergeCell ref="A4:L4"/>
    <mergeCell ref="L6:M6"/>
    <mergeCell ref="C8:N8"/>
    <mergeCell ref="C9:N9"/>
    <mergeCell ref="C10:N10"/>
  </mergeCells>
  <printOptions/>
  <pageMargins left="0.5" right="0.5" top="0.5" bottom="0.55" header="0.75" footer="0.3"/>
  <pageSetup horizontalDpi="600" verticalDpi="600" orientation="landscape" r:id="rId2"/>
  <headerFooter alignWithMargins="0">
    <oddFooter>&amp;L&amp;A&amp;R&amp;"Arial,Regular"&amp;8Page 21</oddFooter>
  </headerFooter>
  <drawing r:id="rId1"/>
</worksheet>
</file>

<file path=xl/worksheets/sheet24.xml><?xml version="1.0" encoding="utf-8"?>
<worksheet xmlns="http://schemas.openxmlformats.org/spreadsheetml/2006/main" xmlns:r="http://schemas.openxmlformats.org/officeDocument/2006/relationships">
  <sheetPr codeName="Sheet35"/>
  <dimension ref="A1:U36"/>
  <sheetViews>
    <sheetView workbookViewId="0" topLeftCell="A1">
      <selection activeCell="A1" sqref="A1:K1"/>
    </sheetView>
  </sheetViews>
  <sheetFormatPr defaultColWidth="9.33203125" defaultRowHeight="12.75"/>
  <cols>
    <col min="1" max="1" width="2.83203125" style="1" customWidth="1"/>
    <col min="2" max="2" width="5.5" style="1" customWidth="1"/>
    <col min="3" max="3" width="38.16015625" style="1" customWidth="1"/>
    <col min="4" max="4" width="10" style="1" customWidth="1"/>
    <col min="5" max="5" width="15.83203125" style="1" customWidth="1"/>
    <col min="6" max="6" width="2.83203125" style="1" customWidth="1"/>
    <col min="7" max="7" width="15.83203125" style="1" customWidth="1"/>
    <col min="8" max="8" width="3.83203125" style="1" customWidth="1"/>
    <col min="9" max="9" width="15.83203125" style="1" customWidth="1"/>
    <col min="10" max="11" width="3.83203125" style="1" customWidth="1"/>
    <col min="12" max="12" width="15.5" style="1" customWidth="1"/>
    <col min="13" max="13" width="8.83203125" style="1" customWidth="1"/>
    <col min="14" max="17" width="8.16015625" style="1" customWidth="1"/>
    <col min="18" max="18" width="15.5" style="1" customWidth="1"/>
    <col min="19" max="19" width="14.33203125" style="1" bestFit="1" customWidth="1"/>
    <col min="20" max="16384" width="8.16015625" style="1" customWidth="1"/>
  </cols>
  <sheetData>
    <row r="1" spans="1:13" ht="12.75">
      <c r="A1" s="622" t="s">
        <v>89</v>
      </c>
      <c r="B1" s="622"/>
      <c r="C1" s="622"/>
      <c r="D1" s="622"/>
      <c r="E1" s="622"/>
      <c r="F1" s="622"/>
      <c r="G1" s="622"/>
      <c r="H1" s="622"/>
      <c r="I1" s="622"/>
      <c r="J1" s="622"/>
      <c r="K1" s="622"/>
      <c r="L1" s="346"/>
      <c r="M1" s="346"/>
    </row>
    <row r="2" spans="1:13" ht="12">
      <c r="A2" s="623" t="s">
        <v>303</v>
      </c>
      <c r="B2" s="623"/>
      <c r="C2" s="623"/>
      <c r="D2" s="623"/>
      <c r="E2" s="623"/>
      <c r="F2" s="623"/>
      <c r="G2" s="623"/>
      <c r="H2" s="623"/>
      <c r="I2" s="623"/>
      <c r="J2" s="623"/>
      <c r="K2" s="623"/>
      <c r="L2" s="54"/>
      <c r="M2" s="54"/>
    </row>
    <row r="3" spans="1:13" ht="12.75" customHeight="1">
      <c r="A3" s="651" t="s">
        <v>205</v>
      </c>
      <c r="B3" s="651"/>
      <c r="C3" s="651"/>
      <c r="D3" s="651"/>
      <c r="E3" s="651"/>
      <c r="F3" s="651"/>
      <c r="G3" s="651"/>
      <c r="H3" s="651"/>
      <c r="I3" s="651"/>
      <c r="J3" s="651"/>
      <c r="K3" s="651"/>
      <c r="L3" s="524"/>
      <c r="M3" s="23"/>
    </row>
    <row r="4" spans="1:13" ht="12.75" customHeight="1">
      <c r="A4" s="651" t="s">
        <v>163</v>
      </c>
      <c r="B4" s="651"/>
      <c r="C4" s="651"/>
      <c r="D4" s="651"/>
      <c r="E4" s="651"/>
      <c r="F4" s="651"/>
      <c r="G4" s="651"/>
      <c r="H4" s="651"/>
      <c r="I4" s="651"/>
      <c r="J4" s="651"/>
      <c r="K4" s="651"/>
      <c r="L4" s="524"/>
      <c r="M4" s="23"/>
    </row>
    <row r="5" spans="3:9" ht="11.25" customHeight="1">
      <c r="C5" s="650"/>
      <c r="D5" s="650"/>
      <c r="E5" s="650"/>
      <c r="F5" s="650"/>
      <c r="G5" s="650"/>
      <c r="H5" s="650"/>
      <c r="I5" s="650"/>
    </row>
    <row r="6" spans="1:10" ht="11.25">
      <c r="A6" s="2"/>
      <c r="B6" s="2"/>
      <c r="C6" s="23"/>
      <c r="D6" s="23"/>
      <c r="E6" s="23"/>
      <c r="F6" s="23"/>
      <c r="G6" s="23"/>
      <c r="H6" s="23"/>
      <c r="I6" s="23"/>
      <c r="J6" s="23"/>
    </row>
    <row r="7" spans="1:13" ht="12.75">
      <c r="A7" s="2"/>
      <c r="B7" s="2"/>
      <c r="C7" s="223" t="s">
        <v>304</v>
      </c>
      <c r="D7" s="223"/>
      <c r="E7" s="223"/>
      <c r="F7" s="223"/>
      <c r="G7" s="223"/>
      <c r="H7" s="223"/>
      <c r="I7" s="223"/>
      <c r="J7" s="223"/>
      <c r="K7"/>
      <c r="M7" s="160"/>
    </row>
    <row r="8" spans="1:13" ht="11.25">
      <c r="A8" s="2"/>
      <c r="B8" s="2"/>
      <c r="C8" s="2"/>
      <c r="D8" s="2"/>
      <c r="E8" s="2"/>
      <c r="F8" s="2"/>
      <c r="G8" s="2"/>
      <c r="H8" s="2"/>
      <c r="I8" s="2"/>
      <c r="J8" s="2"/>
      <c r="M8" s="7"/>
    </row>
    <row r="9" spans="1:21" ht="11.25">
      <c r="A9" s="2"/>
      <c r="B9" s="2"/>
      <c r="C9" s="2"/>
      <c r="D9" s="2"/>
      <c r="E9" s="382" t="s">
        <v>430</v>
      </c>
      <c r="F9" s="2"/>
      <c r="G9" s="382" t="s">
        <v>208</v>
      </c>
      <c r="H9" s="2"/>
      <c r="I9" s="382" t="s">
        <v>207</v>
      </c>
      <c r="J9" s="5"/>
      <c r="K9" s="42"/>
      <c r="L9" s="42"/>
      <c r="M9" s="75"/>
      <c r="O9" s="42"/>
      <c r="P9" s="42"/>
      <c r="Q9" s="42"/>
      <c r="R9" s="382" t="s">
        <v>208</v>
      </c>
      <c r="S9" s="513" t="s">
        <v>356</v>
      </c>
      <c r="T9" s="42"/>
      <c r="U9" s="42"/>
    </row>
    <row r="10" spans="1:21" ht="11.25">
      <c r="A10" s="2"/>
      <c r="B10" s="2"/>
      <c r="C10" s="2"/>
      <c r="D10" s="2"/>
      <c r="E10" s="272" t="s">
        <v>381</v>
      </c>
      <c r="F10" s="2"/>
      <c r="G10" s="272" t="s">
        <v>381</v>
      </c>
      <c r="H10" s="2"/>
      <c r="I10" s="272" t="s">
        <v>321</v>
      </c>
      <c r="J10" s="5"/>
      <c r="K10" s="42"/>
      <c r="L10" s="42"/>
      <c r="M10" s="75"/>
      <c r="O10" s="42"/>
      <c r="P10" s="42"/>
      <c r="Q10" s="42"/>
      <c r="R10" s="497" t="s">
        <v>260</v>
      </c>
      <c r="S10" s="272" t="s">
        <v>260</v>
      </c>
      <c r="T10" s="42"/>
      <c r="U10" s="42"/>
    </row>
    <row r="11" spans="1:21" ht="11.25">
      <c r="A11" s="2"/>
      <c r="B11" s="2"/>
      <c r="C11" s="2"/>
      <c r="D11" s="2"/>
      <c r="E11" s="339"/>
      <c r="F11" s="2"/>
      <c r="G11" s="339"/>
      <c r="H11" s="2"/>
      <c r="I11" s="339"/>
      <c r="J11" s="5"/>
      <c r="K11" s="42"/>
      <c r="L11" s="42"/>
      <c r="M11" s="75"/>
      <c r="O11" s="42"/>
      <c r="P11" s="42"/>
      <c r="Q11" s="42"/>
      <c r="R11" s="339"/>
      <c r="S11" s="339"/>
      <c r="T11" s="42"/>
      <c r="U11" s="42"/>
    </row>
    <row r="12" spans="3:21" ht="12" customHeight="1">
      <c r="C12" s="1" t="s">
        <v>114</v>
      </c>
      <c r="E12" s="32">
        <f>'Consol Bal Sheet'!E46</f>
        <v>15184</v>
      </c>
      <c r="G12" s="32">
        <f>'Consol Bal Sheet'!G46</f>
        <v>14959</v>
      </c>
      <c r="I12" s="32">
        <f>'Consol Bal Sheet'!I46</f>
        <v>14278</v>
      </c>
      <c r="J12" s="7"/>
      <c r="K12" s="42"/>
      <c r="L12" s="42"/>
      <c r="M12" s="75"/>
      <c r="O12" s="42"/>
      <c r="P12" s="42"/>
      <c r="Q12" s="42"/>
      <c r="R12" s="32">
        <v>9970</v>
      </c>
      <c r="S12" s="32">
        <v>10229</v>
      </c>
      <c r="T12" s="42"/>
      <c r="U12" s="42"/>
    </row>
    <row r="13" spans="3:21" ht="12" customHeight="1">
      <c r="C13" s="15" t="s">
        <v>400</v>
      </c>
      <c r="D13" s="15"/>
      <c r="E13" s="383">
        <v>-557</v>
      </c>
      <c r="F13" s="15"/>
      <c r="G13" s="383">
        <v>-557</v>
      </c>
      <c r="H13" s="15"/>
      <c r="I13" s="383">
        <v>-557</v>
      </c>
      <c r="J13" s="15"/>
      <c r="K13" s="42"/>
      <c r="L13" s="42"/>
      <c r="M13" s="75"/>
      <c r="O13" s="42"/>
      <c r="P13" s="42"/>
      <c r="Q13" s="42"/>
      <c r="R13" s="383">
        <v>-557</v>
      </c>
      <c r="S13" s="383">
        <v>-557</v>
      </c>
      <c r="T13" s="42"/>
      <c r="U13" s="42"/>
    </row>
    <row r="14" spans="3:21" ht="12" customHeight="1">
      <c r="C14" s="1" t="s">
        <v>305</v>
      </c>
      <c r="E14" s="38">
        <f>SUM(E12:E13)</f>
        <v>14627</v>
      </c>
      <c r="G14" s="38">
        <f>SUM(G12:G13)</f>
        <v>14402</v>
      </c>
      <c r="I14" s="38">
        <f>SUM(I12:I13)</f>
        <v>13721</v>
      </c>
      <c r="J14" s="7"/>
      <c r="K14" s="42"/>
      <c r="L14" s="42"/>
      <c r="M14" s="75"/>
      <c r="O14" s="42"/>
      <c r="P14" s="42"/>
      <c r="Q14" s="42"/>
      <c r="R14" s="38">
        <f>SUM(R12:R13)</f>
        <v>9413</v>
      </c>
      <c r="S14" s="38">
        <f>SUM(S12:S13)</f>
        <v>9672</v>
      </c>
      <c r="T14" s="42"/>
      <c r="U14" s="42"/>
    </row>
    <row r="15" spans="3:21" ht="12" customHeight="1">
      <c r="C15" s="24" t="s">
        <v>35</v>
      </c>
      <c r="D15" s="24"/>
      <c r="E15" s="276">
        <f>'Consol Bal Sheet'!E22</f>
        <v>2731</v>
      </c>
      <c r="F15" s="24"/>
      <c r="G15" s="276">
        <f>'Consol Bal Sheet'!G22</f>
        <v>2731</v>
      </c>
      <c r="H15" s="24"/>
      <c r="I15" s="276">
        <f>'Consol Bal Sheet'!I22</f>
        <v>2731</v>
      </c>
      <c r="J15" s="549"/>
      <c r="K15" s="42"/>
      <c r="L15" s="42"/>
      <c r="M15" s="75"/>
      <c r="O15" s="42"/>
      <c r="P15" s="42"/>
      <c r="Q15" s="42"/>
      <c r="R15" s="276">
        <v>2695</v>
      </c>
      <c r="S15" s="276">
        <v>2703</v>
      </c>
      <c r="T15" s="42"/>
      <c r="U15" s="42"/>
    </row>
    <row r="16" spans="3:21" ht="12" customHeight="1" thickBot="1">
      <c r="C16" s="1" t="s">
        <v>306</v>
      </c>
      <c r="E16" s="384">
        <f>+E14-E15</f>
        <v>11896</v>
      </c>
      <c r="G16" s="384">
        <f>+G14-G15</f>
        <v>11671</v>
      </c>
      <c r="I16" s="384">
        <f>+I14-I15</f>
        <v>10990</v>
      </c>
      <c r="J16" s="7"/>
      <c r="K16" s="42"/>
      <c r="L16" s="42"/>
      <c r="M16" s="75"/>
      <c r="O16" s="42"/>
      <c r="P16" s="42"/>
      <c r="Q16" s="42"/>
      <c r="R16" s="384">
        <f>+R14-R15</f>
        <v>6718</v>
      </c>
      <c r="S16" s="384">
        <f>+S14-S15</f>
        <v>6969</v>
      </c>
      <c r="T16" s="42"/>
      <c r="U16" s="42"/>
    </row>
    <row r="17" spans="3:21" ht="13.5" thickTop="1">
      <c r="C17" s="52"/>
      <c r="D17" s="52"/>
      <c r="E17" s="146"/>
      <c r="F17" s="52"/>
      <c r="G17" s="146"/>
      <c r="H17" s="52"/>
      <c r="I17" s="146"/>
      <c r="J17" s="465"/>
      <c r="K17" s="42"/>
      <c r="L17" s="42"/>
      <c r="M17" s="75"/>
      <c r="O17" s="42"/>
      <c r="P17" s="42"/>
      <c r="Q17" s="42"/>
      <c r="R17" s="146"/>
      <c r="S17" s="146"/>
      <c r="T17" s="42"/>
      <c r="U17" s="42"/>
    </row>
    <row r="18" spans="3:21" ht="12.75">
      <c r="C18" s="52"/>
      <c r="D18" s="52"/>
      <c r="E18" s="496"/>
      <c r="F18" s="52"/>
      <c r="G18" s="496"/>
      <c r="H18" s="52"/>
      <c r="I18" s="496"/>
      <c r="J18" s="465"/>
      <c r="K18" s="42"/>
      <c r="L18" s="42"/>
      <c r="M18" s="75"/>
      <c r="O18" s="42"/>
      <c r="P18" s="42"/>
      <c r="Q18" s="42"/>
      <c r="R18" s="146"/>
      <c r="S18" s="146"/>
      <c r="T18" s="42"/>
      <c r="U18" s="42"/>
    </row>
    <row r="19" spans="3:19" ht="12" customHeight="1" thickBot="1">
      <c r="C19" s="15" t="s">
        <v>316</v>
      </c>
      <c r="D19" s="15"/>
      <c r="E19" s="509">
        <f>+'Earnings per share '!D22</f>
        <v>329009343</v>
      </c>
      <c r="F19" s="15"/>
      <c r="G19" s="509">
        <v>328309225</v>
      </c>
      <c r="H19" s="15"/>
      <c r="I19" s="509">
        <v>326455468</v>
      </c>
      <c r="J19" s="15"/>
      <c r="M19" s="7"/>
      <c r="R19" s="468">
        <v>287353327</v>
      </c>
      <c r="S19" s="468">
        <v>288672450</v>
      </c>
    </row>
    <row r="20" spans="3:19" ht="13.5" thickTop="1">
      <c r="C20" s="52"/>
      <c r="D20" s="52"/>
      <c r="E20" s="146"/>
      <c r="F20" s="52"/>
      <c r="G20" s="146"/>
      <c r="H20" s="52"/>
      <c r="I20" s="146"/>
      <c r="J20" s="465"/>
      <c r="M20" s="7"/>
      <c r="R20" s="146"/>
      <c r="S20" s="146"/>
    </row>
    <row r="21" spans="3:19" ht="12" customHeight="1">
      <c r="C21" s="15" t="s">
        <v>220</v>
      </c>
      <c r="D21" s="15"/>
      <c r="E21" s="386">
        <f>+E14/(E19/1000000)</f>
        <v>44.45770404763247</v>
      </c>
      <c r="F21" s="15"/>
      <c r="G21" s="386">
        <f>+G14/(G19/1000000)</f>
        <v>43.86718039981971</v>
      </c>
      <c r="H21" s="15"/>
      <c r="I21" s="386">
        <f>+I14/(I19/1000000)</f>
        <v>42.03023488643174</v>
      </c>
      <c r="J21" s="15"/>
      <c r="M21" s="7"/>
      <c r="R21" s="386">
        <f>+R14/(R19/1000000)</f>
        <v>32.75758140082367</v>
      </c>
      <c r="S21" s="386">
        <f>+S14/(S19/1000000)</f>
        <v>33.5051024093224</v>
      </c>
    </row>
    <row r="22" spans="3:19" ht="12" customHeight="1">
      <c r="C22" s="15" t="s">
        <v>302</v>
      </c>
      <c r="D22" s="15"/>
      <c r="E22" s="386">
        <f>+E16/(E19/1000000)</f>
        <v>36.15702791759321</v>
      </c>
      <c r="F22" s="15"/>
      <c r="G22" s="386">
        <f>+G16/(G19/1000000)</f>
        <v>35.54880311389361</v>
      </c>
      <c r="H22" s="15"/>
      <c r="I22" s="386">
        <f>+I16/(I19/1000000)</f>
        <v>33.664622214261705</v>
      </c>
      <c r="J22" s="15"/>
      <c r="M22" s="7"/>
      <c r="R22" s="386">
        <f>+R16/(R19/1000000)</f>
        <v>23.378883655660616</v>
      </c>
      <c r="S22" s="386">
        <f>+S16/(S19/1000000)</f>
        <v>24.14154866527789</v>
      </c>
    </row>
    <row r="23" ht="11.25">
      <c r="S23" s="386"/>
    </row>
    <row r="24" spans="3:19" ht="12.75">
      <c r="C24"/>
      <c r="D24"/>
      <c r="E24"/>
      <c r="F24"/>
      <c r="G24"/>
      <c r="H24"/>
      <c r="I24"/>
      <c r="J24"/>
      <c r="S24" s="386"/>
    </row>
    <row r="25" spans="3:19" ht="12.75">
      <c r="C25"/>
      <c r="D25"/>
      <c r="E25"/>
      <c r="F25"/>
      <c r="G25"/>
      <c r="H25"/>
      <c r="I25"/>
      <c r="J25"/>
      <c r="K25" s="492"/>
      <c r="S25" s="386"/>
    </row>
    <row r="26" spans="3:10" ht="12.75">
      <c r="C26"/>
      <c r="D26"/>
      <c r="E26"/>
      <c r="F26"/>
      <c r="G26"/>
      <c r="H26"/>
      <c r="I26"/>
      <c r="J26"/>
    </row>
    <row r="27" spans="3:10" ht="12.75">
      <c r="C27"/>
      <c r="D27"/>
      <c r="E27"/>
      <c r="F27"/>
      <c r="G27"/>
      <c r="H27"/>
      <c r="I27"/>
      <c r="J27"/>
    </row>
    <row r="28" spans="3:10" ht="12.75">
      <c r="C28"/>
      <c r="D28"/>
      <c r="E28"/>
      <c r="F28"/>
      <c r="G28"/>
      <c r="H28"/>
      <c r="I28"/>
      <c r="J28"/>
    </row>
    <row r="29" spans="3:10" ht="12.75">
      <c r="C29"/>
      <c r="D29"/>
      <c r="E29"/>
      <c r="F29"/>
      <c r="G29"/>
      <c r="H29"/>
      <c r="I29"/>
      <c r="J29"/>
    </row>
    <row r="30" spans="3:10" ht="12.75">
      <c r="C30"/>
      <c r="D30"/>
      <c r="E30"/>
      <c r="F30"/>
      <c r="G30"/>
      <c r="H30"/>
      <c r="I30"/>
      <c r="J30"/>
    </row>
    <row r="31" spans="3:10" ht="12.75">
      <c r="C31"/>
      <c r="D31"/>
      <c r="E31"/>
      <c r="F31"/>
      <c r="G31"/>
      <c r="H31"/>
      <c r="I31"/>
      <c r="J31"/>
    </row>
    <row r="32" spans="3:10" ht="12.75">
      <c r="C32"/>
      <c r="D32"/>
      <c r="E32"/>
      <c r="F32"/>
      <c r="G32"/>
      <c r="H32"/>
      <c r="I32"/>
      <c r="J32"/>
    </row>
    <row r="33" spans="3:10" ht="12.75">
      <c r="C33"/>
      <c r="D33"/>
      <c r="E33"/>
      <c r="F33"/>
      <c r="G33"/>
      <c r="H33"/>
      <c r="I33"/>
      <c r="J33"/>
    </row>
    <row r="34" spans="3:10" ht="22.5" customHeight="1">
      <c r="C34"/>
      <c r="D34"/>
      <c r="E34"/>
      <c r="F34"/>
      <c r="G34"/>
      <c r="H34"/>
      <c r="I34"/>
      <c r="J34"/>
    </row>
    <row r="35" spans="3:10" ht="12.75">
      <c r="C35"/>
      <c r="D35"/>
      <c r="E35"/>
      <c r="F35"/>
      <c r="G35"/>
      <c r="H35"/>
      <c r="I35"/>
      <c r="J35"/>
    </row>
    <row r="36" spans="3:10" ht="12.75">
      <c r="C36"/>
      <c r="D36"/>
      <c r="E36"/>
      <c r="F36"/>
      <c r="G36"/>
      <c r="H36"/>
      <c r="I36"/>
      <c r="J36"/>
    </row>
  </sheetData>
  <mergeCells count="5">
    <mergeCell ref="C5:I5"/>
    <mergeCell ref="A1:K1"/>
    <mergeCell ref="A2:K2"/>
    <mergeCell ref="A3:K3"/>
    <mergeCell ref="A4:K4"/>
  </mergeCells>
  <printOptions/>
  <pageMargins left="0.5" right="0.5" top="0.5" bottom="0.55" header="0.75" footer="0.3"/>
  <pageSetup horizontalDpi="600" verticalDpi="600" orientation="landscape" r:id="rId2"/>
  <headerFooter alignWithMargins="0">
    <oddFooter>&amp;L&amp;A&amp;R&amp;"Arial,Regular"&amp;8Page 22</oddFooter>
  </headerFooter>
  <drawing r:id="rId1"/>
</worksheet>
</file>

<file path=xl/worksheets/sheet25.xml><?xml version="1.0" encoding="utf-8"?>
<worksheet xmlns="http://schemas.openxmlformats.org/spreadsheetml/2006/main" xmlns:r="http://schemas.openxmlformats.org/officeDocument/2006/relationships">
  <sheetPr codeName="Sheet6"/>
  <dimension ref="A1:AA24"/>
  <sheetViews>
    <sheetView workbookViewId="0" topLeftCell="A1">
      <selection activeCell="A1" sqref="A1:P1"/>
    </sheetView>
  </sheetViews>
  <sheetFormatPr defaultColWidth="9.33203125" defaultRowHeight="12.75"/>
  <cols>
    <col min="1" max="1" width="2.83203125" style="52" customWidth="1"/>
    <col min="2" max="2" width="3.66015625" style="52" customWidth="1"/>
    <col min="3" max="6" width="9.33203125" style="52" customWidth="1"/>
    <col min="7" max="7" width="11.83203125" style="52" customWidth="1"/>
    <col min="8" max="12" width="9.83203125" style="52" customWidth="1"/>
    <col min="13" max="13" width="2.33203125" style="52" customWidth="1"/>
    <col min="14" max="14" width="9.83203125" style="52" customWidth="1"/>
    <col min="15" max="15" width="2.33203125" style="52" customWidth="1"/>
    <col min="16" max="16" width="9.83203125" style="52" customWidth="1"/>
    <col min="17" max="17" width="2.33203125" style="52" customWidth="1"/>
    <col min="18" max="19" width="9.83203125" style="52" customWidth="1"/>
    <col min="20" max="20" width="2.33203125" style="52" customWidth="1"/>
    <col min="21" max="22" width="11.66015625" style="52" customWidth="1"/>
    <col min="23" max="23" width="10" style="52" bestFit="1" customWidth="1"/>
    <col min="24" max="16384" width="9.33203125" style="52" customWidth="1"/>
  </cols>
  <sheetData>
    <row r="1" spans="1:19" ht="12.75">
      <c r="A1" s="600" t="s">
        <v>89</v>
      </c>
      <c r="B1" s="600"/>
      <c r="C1" s="600"/>
      <c r="D1" s="600"/>
      <c r="E1" s="600"/>
      <c r="F1" s="600"/>
      <c r="G1" s="600"/>
      <c r="H1" s="600"/>
      <c r="I1" s="600"/>
      <c r="J1" s="600"/>
      <c r="K1" s="600"/>
      <c r="L1" s="600"/>
      <c r="M1" s="600"/>
      <c r="N1" s="600"/>
      <c r="O1" s="600"/>
      <c r="P1" s="600"/>
      <c r="Q1" s="280"/>
      <c r="R1" s="280"/>
      <c r="S1" s="280"/>
    </row>
    <row r="2" spans="1:19" ht="12.75">
      <c r="A2" s="603" t="s">
        <v>241</v>
      </c>
      <c r="B2" s="603"/>
      <c r="C2" s="603"/>
      <c r="D2" s="603"/>
      <c r="E2" s="603"/>
      <c r="F2" s="603"/>
      <c r="G2" s="603"/>
      <c r="H2" s="603"/>
      <c r="I2" s="603"/>
      <c r="J2" s="603"/>
      <c r="K2" s="603"/>
      <c r="L2" s="603"/>
      <c r="M2" s="603"/>
      <c r="N2" s="603"/>
      <c r="O2" s="603"/>
      <c r="P2" s="603"/>
      <c r="Q2" s="282"/>
      <c r="R2" s="282"/>
      <c r="S2" s="282"/>
    </row>
    <row r="3" spans="1:19" ht="12.75">
      <c r="A3" s="602" t="s">
        <v>147</v>
      </c>
      <c r="B3" s="602"/>
      <c r="C3" s="602"/>
      <c r="D3" s="602"/>
      <c r="E3" s="602"/>
      <c r="F3" s="602"/>
      <c r="G3" s="602"/>
      <c r="H3" s="602"/>
      <c r="I3" s="602"/>
      <c r="J3" s="602"/>
      <c r="K3" s="602"/>
      <c r="L3" s="602"/>
      <c r="M3" s="602"/>
      <c r="N3" s="602"/>
      <c r="O3" s="602"/>
      <c r="P3" s="602"/>
      <c r="Q3" s="281"/>
      <c r="R3" s="281"/>
      <c r="S3" s="281"/>
    </row>
    <row r="4" spans="1:19" ht="12.75">
      <c r="A4" s="602" t="s">
        <v>163</v>
      </c>
      <c r="B4" s="602"/>
      <c r="C4" s="602"/>
      <c r="D4" s="602"/>
      <c r="E4" s="602"/>
      <c r="F4" s="602"/>
      <c r="G4" s="602"/>
      <c r="H4" s="602"/>
      <c r="I4" s="602"/>
      <c r="J4" s="602"/>
      <c r="K4" s="602"/>
      <c r="L4" s="602"/>
      <c r="M4" s="602"/>
      <c r="N4" s="602"/>
      <c r="O4" s="602"/>
      <c r="P4" s="602"/>
      <c r="Q4" s="281"/>
      <c r="R4" s="281"/>
      <c r="S4" s="281"/>
    </row>
    <row r="5" spans="4:12" ht="9" customHeight="1">
      <c r="D5" s="68"/>
      <c r="E5" s="68"/>
      <c r="F5" s="68"/>
      <c r="G5" s="68"/>
      <c r="H5" s="68"/>
      <c r="I5" s="68"/>
      <c r="J5" s="69"/>
      <c r="K5" s="69"/>
      <c r="L5" s="69"/>
    </row>
    <row r="6" spans="3:23" ht="14.25" customHeight="1">
      <c r="C6" s="650"/>
      <c r="D6" s="650"/>
      <c r="E6" s="650"/>
      <c r="F6" s="14"/>
      <c r="G6" s="14"/>
      <c r="H6" s="14"/>
      <c r="J6" s="42"/>
      <c r="K6" s="42"/>
      <c r="M6" s="54"/>
      <c r="N6" s="2" t="s">
        <v>256</v>
      </c>
      <c r="O6" s="410"/>
      <c r="P6" s="2" t="s">
        <v>256</v>
      </c>
      <c r="Q6" s="54"/>
      <c r="R6" s="2" t="s">
        <v>17</v>
      </c>
      <c r="S6" s="54"/>
      <c r="T6" s="5"/>
      <c r="U6" s="54"/>
      <c r="V6" s="2"/>
      <c r="W6" s="2"/>
    </row>
    <row r="7" spans="3:23" ht="12.75">
      <c r="C7" s="245" t="s">
        <v>228</v>
      </c>
      <c r="H7" s="4" t="s">
        <v>428</v>
      </c>
      <c r="I7" s="4" t="s">
        <v>375</v>
      </c>
      <c r="J7" s="4" t="s">
        <v>361</v>
      </c>
      <c r="K7" s="4" t="s">
        <v>354</v>
      </c>
      <c r="L7" s="4" t="s">
        <v>352</v>
      </c>
      <c r="M7" s="1"/>
      <c r="N7" s="6">
        <v>2007</v>
      </c>
      <c r="O7" s="7"/>
      <c r="P7" s="6">
        <v>2006</v>
      </c>
      <c r="Q7" s="1"/>
      <c r="R7" s="6">
        <v>2006</v>
      </c>
      <c r="S7" s="1"/>
      <c r="T7" s="122"/>
      <c r="U7" s="1"/>
      <c r="V7" s="122"/>
      <c r="W7" s="122"/>
    </row>
    <row r="8" spans="3:23" ht="12.75">
      <c r="C8" s="245"/>
      <c r="H8" s="5"/>
      <c r="I8" s="5"/>
      <c r="J8" s="5"/>
      <c r="K8" s="167"/>
      <c r="L8" s="167"/>
      <c r="M8" s="1"/>
      <c r="N8" s="122"/>
      <c r="O8" s="1"/>
      <c r="P8" s="122"/>
      <c r="Q8" s="1"/>
      <c r="R8" s="122"/>
      <c r="S8" s="1"/>
      <c r="T8" s="122"/>
      <c r="U8" s="1"/>
      <c r="V8" s="122"/>
      <c r="W8" s="122"/>
    </row>
    <row r="9" spans="3:27" ht="13.5" customHeight="1">
      <c r="C9" s="172" t="s">
        <v>254</v>
      </c>
      <c r="H9" s="214">
        <f>'Financial Highlights'!E18</f>
        <v>649</v>
      </c>
      <c r="I9" s="214">
        <v>701</v>
      </c>
      <c r="J9" s="214">
        <f>+'Reconciliation Non-GAAP'!F14</f>
        <v>665</v>
      </c>
      <c r="K9" s="214">
        <f>+'Reconciliation Non-GAAP'!G14</f>
        <v>578</v>
      </c>
      <c r="L9" s="214">
        <f>+'Reconciliation Non-GAAP'!H14</f>
        <v>573</v>
      </c>
      <c r="M9" s="33"/>
      <c r="N9" s="214">
        <f>+I9+H9</f>
        <v>1350</v>
      </c>
      <c r="O9" s="33"/>
      <c r="P9" s="214">
        <v>1062</v>
      </c>
      <c r="Q9" s="33"/>
      <c r="R9" s="214">
        <v>2305</v>
      </c>
      <c r="S9" s="33"/>
      <c r="T9" s="214"/>
      <c r="U9" s="33"/>
      <c r="V9" s="214"/>
      <c r="W9" s="214"/>
      <c r="X9" s="146"/>
      <c r="Y9" s="146"/>
      <c r="Z9" s="146"/>
      <c r="AA9" s="146"/>
    </row>
    <row r="10" spans="3:27" ht="12" customHeight="1">
      <c r="C10" s="95" t="s">
        <v>229</v>
      </c>
      <c r="H10" s="268"/>
      <c r="I10" s="268"/>
      <c r="J10" s="268"/>
      <c r="K10" s="268"/>
      <c r="L10" s="268"/>
      <c r="M10" s="42"/>
      <c r="N10" s="359"/>
      <c r="O10" s="42"/>
      <c r="P10" s="359"/>
      <c r="Q10" s="42"/>
      <c r="R10" s="359"/>
      <c r="S10" s="42"/>
      <c r="T10" s="268"/>
      <c r="U10" s="42"/>
      <c r="V10" s="268"/>
      <c r="W10" s="268"/>
      <c r="X10" s="146"/>
      <c r="Y10" s="146"/>
      <c r="Z10" s="146"/>
      <c r="AA10" s="146"/>
    </row>
    <row r="11" spans="3:27" ht="13.5" customHeight="1">
      <c r="C11" s="95" t="s">
        <v>41</v>
      </c>
      <c r="H11" s="354">
        <v>-427</v>
      </c>
      <c r="I11" s="354">
        <f>61+12</f>
        <v>73</v>
      </c>
      <c r="J11" s="354">
        <v>132</v>
      </c>
      <c r="K11" s="354">
        <v>541</v>
      </c>
      <c r="L11" s="361">
        <v>-266</v>
      </c>
      <c r="M11" s="42"/>
      <c r="N11" s="381">
        <f>+I11+H11</f>
        <v>-354</v>
      </c>
      <c r="O11" s="42"/>
      <c r="P11" s="381">
        <v>-384</v>
      </c>
      <c r="Q11" s="42"/>
      <c r="R11" s="381">
        <v>289</v>
      </c>
      <c r="S11" s="42"/>
      <c r="T11" s="361"/>
      <c r="U11" s="42"/>
      <c r="V11" s="361"/>
      <c r="W11" s="361"/>
      <c r="X11" s="146"/>
      <c r="Y11" s="146"/>
      <c r="Z11" s="146"/>
      <c r="AA11" s="146"/>
    </row>
    <row r="12" spans="3:27" ht="13.5" customHeight="1">
      <c r="C12" s="7" t="s">
        <v>233</v>
      </c>
      <c r="E12" s="146"/>
      <c r="F12" s="146"/>
      <c r="G12" s="146"/>
      <c r="H12" s="354"/>
      <c r="I12" s="354"/>
      <c r="J12" s="354"/>
      <c r="K12" s="354"/>
      <c r="L12" s="361"/>
      <c r="M12" s="42"/>
      <c r="N12" s="381"/>
      <c r="O12" s="42"/>
      <c r="P12" s="381"/>
      <c r="Q12" s="42"/>
      <c r="R12" s="381"/>
      <c r="S12" s="42"/>
      <c r="T12" s="361"/>
      <c r="U12" s="42"/>
      <c r="V12" s="361"/>
      <c r="W12" s="361"/>
      <c r="X12" s="146"/>
      <c r="Y12" s="146"/>
      <c r="Z12" s="146"/>
      <c r="AA12" s="146"/>
    </row>
    <row r="13" spans="3:27" ht="13.5" customHeight="1">
      <c r="C13" s="7" t="s">
        <v>46</v>
      </c>
      <c r="E13" s="146"/>
      <c r="F13" s="146"/>
      <c r="G13" s="146"/>
      <c r="H13" s="354">
        <v>12</v>
      </c>
      <c r="I13" s="354">
        <v>3</v>
      </c>
      <c r="J13" s="354">
        <v>-6</v>
      </c>
      <c r="K13" s="354">
        <v>82</v>
      </c>
      <c r="L13" s="361">
        <v>3</v>
      </c>
      <c r="M13" s="42"/>
      <c r="N13" s="381">
        <f>+I13+H13</f>
        <v>15</v>
      </c>
      <c r="O13" s="42"/>
      <c r="P13" s="381">
        <v>-12</v>
      </c>
      <c r="Q13" s="42"/>
      <c r="R13" s="381">
        <v>64</v>
      </c>
      <c r="S13" s="42"/>
      <c r="T13" s="361"/>
      <c r="U13" s="42"/>
      <c r="V13" s="361"/>
      <c r="W13" s="361"/>
      <c r="X13" s="146"/>
      <c r="Y13" s="146"/>
      <c r="Z13" s="146"/>
      <c r="AA13" s="146"/>
    </row>
    <row r="14" spans="3:27" ht="13.5" customHeight="1">
      <c r="C14" s="7" t="s">
        <v>414</v>
      </c>
      <c r="E14" s="146"/>
      <c r="F14" s="146"/>
      <c r="G14" s="146"/>
      <c r="H14" s="354">
        <v>19</v>
      </c>
      <c r="I14" s="354">
        <v>16</v>
      </c>
      <c r="J14" s="354">
        <v>46</v>
      </c>
      <c r="K14" s="354">
        <v>15</v>
      </c>
      <c r="L14" s="361">
        <v>50</v>
      </c>
      <c r="M14" s="42"/>
      <c r="N14" s="381">
        <f>+I14+H14</f>
        <v>35</v>
      </c>
      <c r="O14" s="42"/>
      <c r="P14" s="381">
        <v>74</v>
      </c>
      <c r="Q14" s="42"/>
      <c r="R14" s="381">
        <v>135</v>
      </c>
      <c r="S14" s="42"/>
      <c r="T14" s="361"/>
      <c r="U14" s="42"/>
      <c r="V14" s="361"/>
      <c r="W14" s="361"/>
      <c r="X14" s="146"/>
      <c r="Y14" s="146"/>
      <c r="Z14" s="146"/>
      <c r="AA14" s="146"/>
    </row>
    <row r="15" spans="3:27" ht="13.5" customHeight="1">
      <c r="C15" s="7" t="s">
        <v>415</v>
      </c>
      <c r="E15" s="146"/>
      <c r="F15" s="146"/>
      <c r="G15" s="146"/>
      <c r="H15" s="354">
        <v>-2</v>
      </c>
      <c r="I15" s="354">
        <v>0</v>
      </c>
      <c r="J15" s="354">
        <v>29</v>
      </c>
      <c r="K15" s="354">
        <v>-5</v>
      </c>
      <c r="L15" s="361">
        <v>-3</v>
      </c>
      <c r="M15" s="42"/>
      <c r="N15" s="381">
        <f>+I15+H15</f>
        <v>-2</v>
      </c>
      <c r="O15" s="42"/>
      <c r="P15" s="381">
        <v>-4</v>
      </c>
      <c r="Q15" s="42"/>
      <c r="R15" s="381">
        <v>20</v>
      </c>
      <c r="S15" s="42"/>
      <c r="T15" s="361"/>
      <c r="U15" s="42"/>
      <c r="V15" s="361"/>
      <c r="W15" s="361"/>
      <c r="X15" s="146"/>
      <c r="Y15" s="146"/>
      <c r="Z15" s="146"/>
      <c r="AA15" s="146"/>
    </row>
    <row r="16" spans="3:27" ht="13.5" customHeight="1">
      <c r="C16" s="7" t="s">
        <v>133</v>
      </c>
      <c r="E16" s="146"/>
      <c r="F16" s="146"/>
      <c r="G16" s="146"/>
      <c r="H16" s="354"/>
      <c r="I16" s="354"/>
      <c r="J16" s="354"/>
      <c r="K16" s="354"/>
      <c r="L16" s="361"/>
      <c r="M16" s="42"/>
      <c r="N16" s="381"/>
      <c r="O16" s="42"/>
      <c r="P16" s="381"/>
      <c r="Q16" s="42"/>
      <c r="R16" s="381"/>
      <c r="S16" s="42"/>
      <c r="T16" s="361"/>
      <c r="U16" s="42"/>
      <c r="V16" s="361"/>
      <c r="W16" s="361"/>
      <c r="X16" s="146"/>
      <c r="Y16" s="146"/>
      <c r="Z16" s="146"/>
      <c r="AA16" s="146"/>
    </row>
    <row r="17" spans="3:27" ht="13.5" customHeight="1">
      <c r="C17" s="7" t="s">
        <v>134</v>
      </c>
      <c r="E17" s="146"/>
      <c r="F17" s="146"/>
      <c r="G17" s="146"/>
      <c r="H17" s="354">
        <v>23</v>
      </c>
      <c r="I17" s="354">
        <v>-18</v>
      </c>
      <c r="J17" s="354">
        <v>-42</v>
      </c>
      <c r="K17" s="354">
        <v>-117</v>
      </c>
      <c r="L17" s="361">
        <v>18</v>
      </c>
      <c r="M17" s="42"/>
      <c r="N17" s="381">
        <f>+I17+H17</f>
        <v>5</v>
      </c>
      <c r="O17" s="42"/>
      <c r="P17" s="381">
        <v>46</v>
      </c>
      <c r="Q17" s="42"/>
      <c r="R17" s="381">
        <v>-113</v>
      </c>
      <c r="S17" s="42"/>
      <c r="T17" s="361"/>
      <c r="U17" s="42"/>
      <c r="V17" s="361"/>
      <c r="W17" s="361"/>
      <c r="X17" s="146"/>
      <c r="Y17" s="146"/>
      <c r="Z17" s="146"/>
      <c r="AA17" s="146"/>
    </row>
    <row r="18" spans="3:27" ht="13.5" customHeight="1">
      <c r="C18" s="7" t="s">
        <v>67</v>
      </c>
      <c r="E18" s="146"/>
      <c r="F18" s="146"/>
      <c r="G18" s="146"/>
      <c r="H18" s="275">
        <f>SUM(H11:H17)</f>
        <v>-375</v>
      </c>
      <c r="I18" s="275">
        <f>SUM(I11:I17)</f>
        <v>74</v>
      </c>
      <c r="J18" s="275">
        <f>SUM(J11:J17)</f>
        <v>159</v>
      </c>
      <c r="K18" s="275">
        <f>SUM(K11:K17)</f>
        <v>516</v>
      </c>
      <c r="L18" s="275">
        <f>SUM(L11:L17)</f>
        <v>-198</v>
      </c>
      <c r="M18" s="42"/>
      <c r="N18" s="275">
        <f>SUM(N11:N17)</f>
        <v>-301</v>
      </c>
      <c r="O18" s="42"/>
      <c r="P18" s="275">
        <f>SUM(P11:P17)</f>
        <v>-280</v>
      </c>
      <c r="Q18" s="42"/>
      <c r="R18" s="275">
        <f>SUM(R11:R17)</f>
        <v>395</v>
      </c>
      <c r="S18" s="42"/>
      <c r="T18" s="464"/>
      <c r="U18" s="42"/>
      <c r="V18" s="464"/>
      <c r="W18" s="464"/>
      <c r="X18" s="146"/>
      <c r="Y18" s="146"/>
      <c r="Z18" s="146"/>
      <c r="AA18" s="146"/>
    </row>
    <row r="19" spans="3:27" ht="13.5" customHeight="1" thickBot="1">
      <c r="C19" s="225" t="s">
        <v>3</v>
      </c>
      <c r="E19" s="146"/>
      <c r="F19" s="146"/>
      <c r="G19" s="146"/>
      <c r="H19" s="194">
        <f>SUM(H9:H17)</f>
        <v>274</v>
      </c>
      <c r="I19" s="194">
        <f>SUM(I9:I17)</f>
        <v>775</v>
      </c>
      <c r="J19" s="194">
        <f>SUM(J9:J17)</f>
        <v>824</v>
      </c>
      <c r="K19" s="194">
        <f>SUM(K9:K17)</f>
        <v>1094</v>
      </c>
      <c r="L19" s="194">
        <f>SUM(L9:L17)</f>
        <v>375</v>
      </c>
      <c r="M19" s="33"/>
      <c r="N19" s="194">
        <f>SUM(N9:N17)</f>
        <v>1049</v>
      </c>
      <c r="O19" s="33"/>
      <c r="P19" s="194">
        <f>SUM(P9:P17)</f>
        <v>782</v>
      </c>
      <c r="Q19" s="33"/>
      <c r="R19" s="194">
        <f>SUM(R9:R17)</f>
        <v>2700</v>
      </c>
      <c r="S19" s="33"/>
      <c r="T19" s="214"/>
      <c r="U19" s="33"/>
      <c r="V19" s="214"/>
      <c r="W19" s="214"/>
      <c r="X19" s="146"/>
      <c r="Y19" s="146"/>
      <c r="Z19" s="146"/>
      <c r="AA19" s="146"/>
    </row>
    <row r="20" spans="5:23" ht="13.5" thickTop="1">
      <c r="E20" s="146"/>
      <c r="F20" s="146"/>
      <c r="G20" s="146"/>
      <c r="H20" s="146"/>
      <c r="I20" s="146"/>
      <c r="T20" s="465"/>
      <c r="V20" s="465"/>
      <c r="W20" s="465"/>
    </row>
    <row r="21" spans="5:16" ht="12.75">
      <c r="E21" s="146"/>
      <c r="F21" s="146"/>
      <c r="G21" s="146"/>
      <c r="H21" s="146"/>
      <c r="I21" s="146"/>
      <c r="P21" s="465"/>
    </row>
    <row r="22" spans="5:9" ht="12.75">
      <c r="E22" s="146"/>
      <c r="F22" s="146"/>
      <c r="G22" s="146"/>
      <c r="H22" s="387"/>
      <c r="I22" s="387"/>
    </row>
    <row r="23" spans="5:9" ht="12.75">
      <c r="E23" s="146"/>
      <c r="F23" s="146"/>
      <c r="G23" s="146"/>
      <c r="H23" s="146"/>
      <c r="I23" s="146"/>
    </row>
    <row r="24" spans="5:9" ht="12.75">
      <c r="E24" s="146"/>
      <c r="F24" s="146"/>
      <c r="G24" s="146"/>
      <c r="H24" s="146"/>
      <c r="I24" s="146"/>
    </row>
  </sheetData>
  <mergeCells count="5">
    <mergeCell ref="A1:P1"/>
    <mergeCell ref="C6:E6"/>
    <mergeCell ref="A4:P4"/>
    <mergeCell ref="A3:P3"/>
    <mergeCell ref="A2:P2"/>
  </mergeCells>
  <printOptions/>
  <pageMargins left="0.5" right="0.5" top="0.5" bottom="0.55" header="0.75" footer="0.3"/>
  <pageSetup horizontalDpi="600" verticalDpi="600" orientation="landscape" r:id="rId2"/>
  <headerFooter alignWithMargins="0">
    <oddFooter>&amp;L&amp;A&amp;R&amp;"Arial,Regular"&amp;8Page 23</oddFooter>
  </headerFooter>
  <drawing r:id="rId1"/>
</worksheet>
</file>

<file path=xl/worksheets/sheet26.xml><?xml version="1.0" encoding="utf-8"?>
<worksheet xmlns="http://schemas.openxmlformats.org/spreadsheetml/2006/main" xmlns:r="http://schemas.openxmlformats.org/officeDocument/2006/relationships">
  <sheetPr codeName="Sheet36"/>
  <dimension ref="A1:P45"/>
  <sheetViews>
    <sheetView workbookViewId="0" topLeftCell="A1">
      <selection activeCell="A1" sqref="A1:G1"/>
    </sheetView>
  </sheetViews>
  <sheetFormatPr defaultColWidth="9.33203125" defaultRowHeight="12.75"/>
  <cols>
    <col min="1" max="1" width="2.83203125" style="1" customWidth="1"/>
    <col min="2" max="2" width="54.83203125" style="1" customWidth="1"/>
    <col min="3" max="3" width="16.83203125" style="1" customWidth="1"/>
    <col min="4" max="4" width="10.16015625" style="1" customWidth="1"/>
    <col min="5" max="5" width="16.66015625" style="1" customWidth="1"/>
    <col min="6" max="6" width="16.83203125" style="1" customWidth="1"/>
    <col min="7" max="7" width="24.33203125" style="1" customWidth="1"/>
    <col min="8" max="8" width="5.33203125" style="1" customWidth="1"/>
    <col min="9" max="16384" width="8.16015625" style="1" customWidth="1"/>
  </cols>
  <sheetData>
    <row r="1" spans="1:16" ht="12.75">
      <c r="A1" s="622" t="s">
        <v>89</v>
      </c>
      <c r="B1" s="622"/>
      <c r="C1" s="622"/>
      <c r="D1" s="622"/>
      <c r="E1" s="622"/>
      <c r="F1" s="622"/>
      <c r="G1" s="622"/>
      <c r="H1" s="346"/>
      <c r="I1" s="346"/>
      <c r="J1" s="346"/>
      <c r="K1" s="346"/>
      <c r="L1" s="346"/>
      <c r="M1" s="346"/>
      <c r="N1" s="346"/>
      <c r="O1" s="23"/>
      <c r="P1" s="23"/>
    </row>
    <row r="2" spans="1:16" ht="12">
      <c r="A2" s="623" t="s">
        <v>201</v>
      </c>
      <c r="B2" s="623"/>
      <c r="C2" s="623"/>
      <c r="D2" s="623"/>
      <c r="E2" s="623"/>
      <c r="F2" s="623"/>
      <c r="G2" s="623"/>
      <c r="H2" s="623"/>
      <c r="I2" s="623"/>
      <c r="J2" s="623"/>
      <c r="K2" s="623"/>
      <c r="L2" s="623"/>
      <c r="M2" s="623"/>
      <c r="N2" s="623"/>
      <c r="O2" s="23"/>
      <c r="P2" s="23"/>
    </row>
    <row r="3" spans="1:16" ht="12">
      <c r="A3" s="648"/>
      <c r="B3" s="648"/>
      <c r="C3" s="648"/>
      <c r="D3" s="648"/>
      <c r="E3" s="648"/>
      <c r="F3" s="648"/>
      <c r="G3" s="648"/>
      <c r="H3" s="648"/>
      <c r="I3" s="648"/>
      <c r="J3" s="648"/>
      <c r="K3" s="648"/>
      <c r="L3" s="648"/>
      <c r="M3" s="648"/>
      <c r="N3" s="648"/>
      <c r="O3" s="23"/>
      <c r="P3" s="23"/>
    </row>
    <row r="4" spans="1:16" ht="12">
      <c r="A4" s="648"/>
      <c r="B4" s="648"/>
      <c r="C4" s="648"/>
      <c r="D4" s="648"/>
      <c r="E4" s="648"/>
      <c r="F4" s="648"/>
      <c r="G4" s="648"/>
      <c r="H4" s="648"/>
      <c r="I4" s="648"/>
      <c r="J4" s="648"/>
      <c r="K4" s="648"/>
      <c r="L4" s="648"/>
      <c r="M4" s="648"/>
      <c r="N4" s="648"/>
      <c r="O4" s="23"/>
      <c r="P4" s="23"/>
    </row>
    <row r="5" spans="2:4" ht="12">
      <c r="B5" s="650"/>
      <c r="C5" s="650"/>
      <c r="D5" s="650"/>
    </row>
    <row r="6" spans="2:15" ht="11.25">
      <c r="B6" s="14"/>
      <c r="M6" s="23"/>
      <c r="N6" s="648"/>
      <c r="O6" s="648"/>
    </row>
    <row r="7" ht="7.5" customHeight="1">
      <c r="P7" s="7"/>
    </row>
    <row r="8" spans="1:16" ht="23.25" customHeight="1">
      <c r="A8" s="92"/>
      <c r="B8" s="652" t="s">
        <v>411</v>
      </c>
      <c r="C8" s="653"/>
      <c r="D8" s="653"/>
      <c r="E8" s="653"/>
      <c r="F8" s="653"/>
      <c r="G8" s="653"/>
      <c r="H8" s="158"/>
      <c r="P8" s="7"/>
    </row>
    <row r="9" spans="1:16" ht="7.5" customHeight="1">
      <c r="A9" s="92"/>
      <c r="B9" s="72"/>
      <c r="C9" s="98"/>
      <c r="D9" s="97"/>
      <c r="E9" s="97"/>
      <c r="F9" s="97"/>
      <c r="G9" s="96"/>
      <c r="P9" s="7"/>
    </row>
    <row r="10" spans="1:16" ht="13.5" customHeight="1">
      <c r="A10" s="92"/>
      <c r="B10" s="652" t="s">
        <v>310</v>
      </c>
      <c r="C10" s="653"/>
      <c r="D10" s="653"/>
      <c r="E10" s="653"/>
      <c r="F10" s="653"/>
      <c r="G10" s="653"/>
      <c r="P10" s="7"/>
    </row>
    <row r="11" spans="1:16" ht="7.5" customHeight="1">
      <c r="A11" s="92"/>
      <c r="B11" s="72"/>
      <c r="C11" s="98"/>
      <c r="D11" s="97"/>
      <c r="E11" s="97"/>
      <c r="F11" s="97"/>
      <c r="G11" s="96"/>
      <c r="P11" s="7"/>
    </row>
    <row r="12" spans="1:16" ht="12.75">
      <c r="A12" s="92"/>
      <c r="B12" s="652" t="s">
        <v>413</v>
      </c>
      <c r="C12" s="653"/>
      <c r="D12" s="653"/>
      <c r="E12" s="653"/>
      <c r="F12" s="653"/>
      <c r="G12" s="653"/>
      <c r="P12" s="7"/>
    </row>
    <row r="13" spans="1:16" ht="7.5" customHeight="1">
      <c r="A13" s="92"/>
      <c r="B13" s="72"/>
      <c r="C13" s="98"/>
      <c r="D13" s="97"/>
      <c r="E13" s="97"/>
      <c r="F13" s="97"/>
      <c r="G13" s="96"/>
      <c r="P13" s="7"/>
    </row>
    <row r="14" spans="1:16" ht="12.75">
      <c r="A14" s="92"/>
      <c r="B14" s="652" t="s">
        <v>416</v>
      </c>
      <c r="C14" s="653"/>
      <c r="D14" s="653"/>
      <c r="E14" s="653"/>
      <c r="F14" s="653"/>
      <c r="G14" s="653"/>
      <c r="P14" s="7"/>
    </row>
    <row r="15" spans="1:16" ht="7.5" customHeight="1">
      <c r="A15" s="92"/>
      <c r="B15" s="72"/>
      <c r="C15" s="98"/>
      <c r="D15" s="97"/>
      <c r="E15" s="97"/>
      <c r="F15" s="97"/>
      <c r="G15" s="96"/>
      <c r="P15" s="7"/>
    </row>
    <row r="16" spans="1:16" ht="12.75" customHeight="1">
      <c r="A16" s="92"/>
      <c r="B16" s="652" t="s">
        <v>412</v>
      </c>
      <c r="C16" s="653"/>
      <c r="D16" s="653"/>
      <c r="E16" s="653"/>
      <c r="F16" s="653"/>
      <c r="G16" s="653"/>
      <c r="P16" s="7"/>
    </row>
    <row r="17" spans="1:16" ht="7.5" customHeight="1">
      <c r="A17" s="92"/>
      <c r="B17" s="72"/>
      <c r="C17" s="98"/>
      <c r="D17" s="97"/>
      <c r="E17" s="97"/>
      <c r="F17" s="97"/>
      <c r="G17" s="96"/>
      <c r="P17" s="7"/>
    </row>
    <row r="18" spans="1:16" ht="12.75" customHeight="1">
      <c r="A18" s="92"/>
      <c r="B18" s="652" t="s">
        <v>22</v>
      </c>
      <c r="C18" s="653"/>
      <c r="D18" s="653"/>
      <c r="E18" s="653"/>
      <c r="F18" s="653"/>
      <c r="G18" s="653"/>
      <c r="P18" s="7"/>
    </row>
    <row r="19" spans="1:16" ht="7.5" customHeight="1">
      <c r="A19" s="92"/>
      <c r="B19" s="72"/>
      <c r="C19" s="98"/>
      <c r="D19" s="97"/>
      <c r="E19" s="97"/>
      <c r="F19" s="97"/>
      <c r="G19" s="96"/>
      <c r="P19" s="7"/>
    </row>
    <row r="20" spans="1:16" ht="13.5" customHeight="1">
      <c r="A20" s="92"/>
      <c r="B20" s="652" t="s">
        <v>23</v>
      </c>
      <c r="C20" s="653"/>
      <c r="D20" s="653"/>
      <c r="E20" s="653"/>
      <c r="F20" s="653"/>
      <c r="G20" s="653"/>
      <c r="H20" s="653"/>
      <c r="P20" s="7"/>
    </row>
    <row r="21" spans="1:16" ht="7.5" customHeight="1">
      <c r="A21" s="92"/>
      <c r="B21" s="72"/>
      <c r="C21" s="98"/>
      <c r="D21" s="97"/>
      <c r="E21" s="97"/>
      <c r="F21" s="97"/>
      <c r="G21" s="96"/>
      <c r="P21" s="7"/>
    </row>
    <row r="22" spans="1:16" ht="12.75" customHeight="1">
      <c r="A22" s="92"/>
      <c r="B22" s="540" t="s">
        <v>24</v>
      </c>
      <c r="C22" s="97"/>
      <c r="D22" s="97"/>
      <c r="E22" s="97"/>
      <c r="F22" s="97"/>
      <c r="G22" s="97"/>
      <c r="P22" s="7"/>
    </row>
    <row r="23" spans="1:7" ht="7.5" customHeight="1">
      <c r="A23" s="92"/>
      <c r="B23" s="65"/>
      <c r="C23" s="97"/>
      <c r="D23" s="97"/>
      <c r="E23" s="97"/>
      <c r="F23" s="97"/>
      <c r="G23" s="97"/>
    </row>
    <row r="24" spans="1:7" ht="12.75" customHeight="1">
      <c r="A24" s="92"/>
      <c r="B24" s="652" t="s">
        <v>25</v>
      </c>
      <c r="C24" s="653"/>
      <c r="D24" s="653"/>
      <c r="E24" s="653"/>
      <c r="F24" s="653"/>
      <c r="G24" s="653"/>
    </row>
    <row r="25" spans="1:14" ht="7.5" customHeight="1">
      <c r="A25" s="92"/>
      <c r="B25" s="72"/>
      <c r="C25" s="98"/>
      <c r="D25" s="97"/>
      <c r="E25" s="97"/>
      <c r="F25" s="97"/>
      <c r="G25" s="96"/>
      <c r="L25" s="648"/>
      <c r="M25" s="648"/>
      <c r="N25" s="648"/>
    </row>
    <row r="26" spans="2:8" ht="13.5" customHeight="1">
      <c r="B26" s="652" t="s">
        <v>365</v>
      </c>
      <c r="C26" s="653"/>
      <c r="D26" s="653"/>
      <c r="E26" s="653"/>
      <c r="F26" s="653"/>
      <c r="G26" s="653"/>
      <c r="H26" s="23"/>
    </row>
    <row r="27" spans="1:7" ht="7.5" customHeight="1">
      <c r="A27" s="92"/>
      <c r="B27" s="72"/>
      <c r="C27" s="98"/>
      <c r="D27" s="97"/>
      <c r="E27" s="97"/>
      <c r="F27" s="97"/>
      <c r="G27" s="96"/>
    </row>
    <row r="28" spans="1:16" ht="13.5" customHeight="1">
      <c r="A28" s="92"/>
      <c r="B28" s="652" t="s">
        <v>309</v>
      </c>
      <c r="C28" s="653"/>
      <c r="D28" s="653"/>
      <c r="E28" s="653"/>
      <c r="F28" s="653"/>
      <c r="G28" s="653"/>
      <c r="P28" s="7"/>
    </row>
    <row r="29" spans="1:16" ht="7.5" customHeight="1">
      <c r="A29" s="92"/>
      <c r="B29" s="72"/>
      <c r="C29" s="98"/>
      <c r="D29" s="97"/>
      <c r="E29" s="97"/>
      <c r="F29" s="97"/>
      <c r="G29" s="96"/>
      <c r="P29" s="7"/>
    </row>
    <row r="30" spans="1:8" s="99" customFormat="1" ht="12.75" customHeight="1">
      <c r="A30" s="92"/>
      <c r="B30" s="539" t="s">
        <v>26</v>
      </c>
      <c r="C30" s="655"/>
      <c r="D30" s="655"/>
      <c r="E30" s="655"/>
      <c r="F30" s="655"/>
      <c r="G30" s="655"/>
      <c r="H30" s="1"/>
    </row>
    <row r="31" spans="1:8" s="99" customFormat="1" ht="7.5" customHeight="1">
      <c r="A31" s="92"/>
      <c r="B31" s="72"/>
      <c r="C31" s="98"/>
      <c r="D31" s="97"/>
      <c r="E31" s="97"/>
      <c r="F31" s="97"/>
      <c r="G31" s="96"/>
      <c r="H31" s="1"/>
    </row>
    <row r="32" spans="2:7" ht="12.75">
      <c r="B32" s="652" t="s">
        <v>267</v>
      </c>
      <c r="C32" s="653"/>
      <c r="D32" s="653"/>
      <c r="E32" s="653"/>
      <c r="F32" s="653"/>
      <c r="G32" s="653"/>
    </row>
    <row r="33" spans="2:7" ht="7.5" customHeight="1">
      <c r="B33" s="72"/>
      <c r="C33" s="98"/>
      <c r="D33" s="97"/>
      <c r="E33" s="97"/>
      <c r="F33" s="97"/>
      <c r="G33" s="96"/>
    </row>
    <row r="34" spans="2:6" ht="11.25">
      <c r="B34" s="14" t="s">
        <v>444</v>
      </c>
      <c r="C34" s="94"/>
      <c r="D34" s="7"/>
      <c r="E34" s="7"/>
      <c r="F34" s="7"/>
    </row>
    <row r="35" spans="2:6" ht="12.75" customHeight="1">
      <c r="B35" s="72"/>
      <c r="C35" s="94"/>
      <c r="D35" s="7"/>
      <c r="E35" s="7"/>
      <c r="F35" s="7"/>
    </row>
    <row r="36" spans="2:8" ht="12.75" customHeight="1">
      <c r="B36" s="654"/>
      <c r="C36" s="633"/>
      <c r="D36" s="633"/>
      <c r="E36" s="633"/>
      <c r="F36" s="633"/>
      <c r="G36" s="633"/>
      <c r="H36" s="7"/>
    </row>
    <row r="37" spans="2:8" ht="12.75" customHeight="1">
      <c r="B37" s="558"/>
      <c r="C37" s="7"/>
      <c r="D37" s="7"/>
      <c r="E37" s="7"/>
      <c r="F37" s="7"/>
      <c r="G37" s="7"/>
      <c r="H37" s="7"/>
    </row>
    <row r="38" spans="2:8" ht="12.75" customHeight="1">
      <c r="B38"/>
      <c r="C38" s="7"/>
      <c r="D38" s="7"/>
      <c r="E38" s="7"/>
      <c r="F38" s="7"/>
      <c r="G38" s="7"/>
      <c r="H38" s="7"/>
    </row>
    <row r="39" spans="2:8" ht="12.75" customHeight="1">
      <c r="B39" s="558"/>
      <c r="C39" s="7"/>
      <c r="D39" s="7"/>
      <c r="E39" s="7"/>
      <c r="F39" s="7"/>
      <c r="G39" s="7"/>
      <c r="H39" s="7"/>
    </row>
    <row r="40" spans="2:8" ht="12.75" customHeight="1">
      <c r="B40"/>
      <c r="C40" s="7"/>
      <c r="D40" s="7"/>
      <c r="E40" s="7"/>
      <c r="F40" s="7"/>
      <c r="G40" s="7"/>
      <c r="H40" s="7"/>
    </row>
    <row r="41" spans="1:8" ht="12.75" customHeight="1">
      <c r="A41" s="96"/>
      <c r="B41" s="7"/>
      <c r="C41" s="7"/>
      <c r="D41" s="7"/>
      <c r="E41" s="7"/>
      <c r="F41" s="7"/>
      <c r="G41" s="7"/>
      <c r="H41" s="7"/>
    </row>
    <row r="42" spans="1:8" ht="12.75" customHeight="1">
      <c r="A42" s="96"/>
      <c r="B42" s="7"/>
      <c r="C42" s="7"/>
      <c r="D42" s="7"/>
      <c r="E42" s="7"/>
      <c r="F42" s="7"/>
      <c r="G42" s="7"/>
      <c r="H42" s="7"/>
    </row>
    <row r="43" spans="1:8" ht="12.75" customHeight="1">
      <c r="A43" s="96"/>
      <c r="B43" s="75"/>
      <c r="C43" s="97"/>
      <c r="D43" s="97"/>
      <c r="E43" s="97"/>
      <c r="F43" s="97"/>
      <c r="G43" s="97"/>
      <c r="H43" s="97"/>
    </row>
    <row r="44" spans="2:8" ht="12.75" customHeight="1">
      <c r="B44" s="7"/>
      <c r="C44" s="7"/>
      <c r="D44" s="7"/>
      <c r="E44" s="7"/>
      <c r="F44" s="7"/>
      <c r="G44" s="7"/>
      <c r="H44" s="7"/>
    </row>
    <row r="45" ht="12.75" customHeight="1">
      <c r="A45" s="96"/>
    </row>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21">
    <mergeCell ref="A1:G1"/>
    <mergeCell ref="A2:G2"/>
    <mergeCell ref="B8:G8"/>
    <mergeCell ref="B12:G12"/>
    <mergeCell ref="B5:D5"/>
    <mergeCell ref="A3:N3"/>
    <mergeCell ref="A4:N4"/>
    <mergeCell ref="H2:N2"/>
    <mergeCell ref="B36:G36"/>
    <mergeCell ref="B26:G26"/>
    <mergeCell ref="B20:H20"/>
    <mergeCell ref="B24:G24"/>
    <mergeCell ref="B32:G32"/>
    <mergeCell ref="C30:G30"/>
    <mergeCell ref="B28:G28"/>
    <mergeCell ref="L25:N25"/>
    <mergeCell ref="N6:O6"/>
    <mergeCell ref="B10:G10"/>
    <mergeCell ref="B14:G14"/>
    <mergeCell ref="B16:G16"/>
    <mergeCell ref="B18:G18"/>
  </mergeCells>
  <printOptions/>
  <pageMargins left="0.5" right="0.5" top="0.5" bottom="0.55" header="0.75" footer="0.3"/>
  <pageSetup horizontalDpi="600" verticalDpi="600" orientation="landscape" r:id="rId2"/>
  <headerFooter alignWithMargins="0">
    <oddFooter>&amp;L&amp;A&amp;R&amp;"Arial,Regular"&amp;8Page 24</oddFooter>
  </headerFooter>
  <drawing r:id="rId1"/>
</worksheet>
</file>

<file path=xl/worksheets/sheet3.xml><?xml version="1.0" encoding="utf-8"?>
<worksheet xmlns="http://schemas.openxmlformats.org/spreadsheetml/2006/main" xmlns:r="http://schemas.openxmlformats.org/officeDocument/2006/relationships">
  <sheetPr codeName="Sheet3"/>
  <dimension ref="B1:V111"/>
  <sheetViews>
    <sheetView workbookViewId="0" topLeftCell="A1">
      <selection activeCell="A1" sqref="A1"/>
    </sheetView>
  </sheetViews>
  <sheetFormatPr defaultColWidth="9.33203125" defaultRowHeight="12.75"/>
  <cols>
    <col min="1" max="1" width="3.33203125" style="1" customWidth="1"/>
    <col min="2" max="2" width="2.83203125" style="1" customWidth="1"/>
    <col min="3" max="3" width="56.5" style="1" customWidth="1"/>
    <col min="4" max="4" width="2.16015625" style="1" customWidth="1"/>
    <col min="5" max="5" width="9.83203125" style="1" customWidth="1"/>
    <col min="6" max="6" width="3.83203125" style="1" customWidth="1"/>
    <col min="7" max="7" width="9.83203125" style="1" customWidth="1"/>
    <col min="8" max="8" width="2.83203125" style="1" customWidth="1"/>
    <col min="9" max="9" width="8.83203125" style="1" customWidth="1"/>
    <col min="10" max="10" width="2.16015625" style="1" customWidth="1"/>
    <col min="11" max="11" width="2.83203125" style="1" customWidth="1"/>
    <col min="12" max="12" width="9.83203125" style="1" customWidth="1"/>
    <col min="13" max="13" width="3.83203125" style="1" customWidth="1"/>
    <col min="14" max="14" width="9.83203125" style="1" customWidth="1"/>
    <col min="15" max="15" width="2.83203125" style="1" customWidth="1"/>
    <col min="16" max="16" width="9.5" style="1" customWidth="1"/>
    <col min="17" max="16384" width="8.16015625" style="1" customWidth="1"/>
  </cols>
  <sheetData>
    <row r="1" spans="3:22" ht="12.75">
      <c r="C1" s="622" t="s">
        <v>89</v>
      </c>
      <c r="D1" s="622"/>
      <c r="E1" s="622"/>
      <c r="F1" s="622"/>
      <c r="G1" s="622"/>
      <c r="H1" s="622"/>
      <c r="I1" s="622"/>
      <c r="J1" s="622"/>
      <c r="K1" s="622"/>
      <c r="L1" s="622"/>
      <c r="M1" s="622"/>
      <c r="N1" s="622"/>
      <c r="O1" s="622"/>
      <c r="P1" s="622"/>
      <c r="Q1" s="93"/>
      <c r="R1" s="93"/>
      <c r="S1" s="93"/>
      <c r="T1" s="93"/>
      <c r="U1" s="93"/>
      <c r="V1" s="93"/>
    </row>
    <row r="2" spans="3:16" ht="11.25" customHeight="1">
      <c r="C2" s="623" t="s">
        <v>221</v>
      </c>
      <c r="D2" s="623"/>
      <c r="E2" s="623"/>
      <c r="F2" s="623"/>
      <c r="G2" s="623"/>
      <c r="H2" s="623"/>
      <c r="I2" s="623"/>
      <c r="J2" s="623"/>
      <c r="K2" s="623"/>
      <c r="L2" s="623"/>
      <c r="M2" s="623"/>
      <c r="N2" s="623"/>
      <c r="O2" s="623"/>
      <c r="P2" s="623"/>
    </row>
    <row r="3" spans="3:16" ht="11.25" customHeight="1">
      <c r="C3" s="624" t="s">
        <v>258</v>
      </c>
      <c r="D3" s="624"/>
      <c r="E3" s="624"/>
      <c r="F3" s="624"/>
      <c r="G3" s="624"/>
      <c r="H3" s="624"/>
      <c r="I3" s="624"/>
      <c r="J3" s="624"/>
      <c r="K3" s="624"/>
      <c r="L3" s="624"/>
      <c r="M3" s="624"/>
      <c r="N3" s="624"/>
      <c r="O3" s="624"/>
      <c r="P3" s="624"/>
    </row>
    <row r="4" spans="3:16" ht="11.25" customHeight="1">
      <c r="C4" s="624" t="s">
        <v>163</v>
      </c>
      <c r="D4" s="624"/>
      <c r="E4" s="624"/>
      <c r="F4" s="624"/>
      <c r="G4" s="624"/>
      <c r="H4" s="624"/>
      <c r="I4" s="624"/>
      <c r="J4" s="624"/>
      <c r="K4" s="624"/>
      <c r="L4" s="624"/>
      <c r="M4" s="624"/>
      <c r="N4" s="624"/>
      <c r="O4" s="624"/>
      <c r="P4" s="624"/>
    </row>
    <row r="5" spans="5:16" ht="7.5" customHeight="1">
      <c r="E5"/>
      <c r="F5"/>
      <c r="G5"/>
      <c r="H5"/>
      <c r="I5"/>
      <c r="K5" s="175"/>
      <c r="M5" s="175"/>
      <c r="N5" s="42"/>
      <c r="O5" s="127"/>
      <c r="P5" s="175"/>
    </row>
    <row r="6" spans="3:16" ht="12.75" customHeight="1">
      <c r="C6" s="507"/>
      <c r="E6" s="618"/>
      <c r="F6" s="618"/>
      <c r="G6" s="618"/>
      <c r="I6" s="2" t="s">
        <v>159</v>
      </c>
      <c r="L6" s="618"/>
      <c r="M6" s="618"/>
      <c r="N6" s="618"/>
      <c r="P6" s="2" t="s">
        <v>159</v>
      </c>
    </row>
    <row r="7" spans="4:16" ht="12.75" customHeight="1">
      <c r="D7" s="618" t="s">
        <v>423</v>
      </c>
      <c r="E7" s="619"/>
      <c r="F7" s="619"/>
      <c r="G7" s="619"/>
      <c r="H7" s="619"/>
      <c r="I7" s="2" t="s">
        <v>424</v>
      </c>
      <c r="K7" s="618" t="s">
        <v>425</v>
      </c>
      <c r="L7" s="619"/>
      <c r="M7" s="619"/>
      <c r="N7" s="619"/>
      <c r="O7" s="619"/>
      <c r="P7" s="2" t="s">
        <v>426</v>
      </c>
    </row>
    <row r="8" spans="5:16" ht="11.25">
      <c r="E8" s="166" t="s">
        <v>381</v>
      </c>
      <c r="G8" s="166" t="s">
        <v>321</v>
      </c>
      <c r="I8" s="60" t="s">
        <v>352</v>
      </c>
      <c r="L8" s="166" t="s">
        <v>381</v>
      </c>
      <c r="N8" s="166" t="s">
        <v>321</v>
      </c>
      <c r="P8" s="60" t="s">
        <v>427</v>
      </c>
    </row>
    <row r="9" spans="3:14" ht="11.25">
      <c r="C9" s="14"/>
      <c r="D9" s="14"/>
      <c r="E9" s="167"/>
      <c r="F9" s="67"/>
      <c r="G9" s="167"/>
      <c r="K9" s="14"/>
      <c r="L9" s="167"/>
      <c r="M9" s="67"/>
      <c r="N9" s="167"/>
    </row>
    <row r="10" spans="3:16" ht="11.25" customHeight="1">
      <c r="C10" s="1" t="s">
        <v>124</v>
      </c>
      <c r="E10" s="175">
        <f>+'Segment  2007 Qtr'!Q10</f>
        <v>4637</v>
      </c>
      <c r="G10" s="175">
        <f>+'Segment  2007 Qtr'!Q31</f>
        <v>4583</v>
      </c>
      <c r="I10" s="127">
        <f>(+E10-G10)/G10</f>
        <v>0.011782675103643902</v>
      </c>
      <c r="L10" s="175">
        <f>+'Segment  2007 YTD'!Q10</f>
        <v>9133</v>
      </c>
      <c r="N10" s="175">
        <f>+'Segment  2007 YTD'!Q31</f>
        <v>9094</v>
      </c>
      <c r="P10" s="127">
        <f>(+L10-N10)/N10</f>
        <v>0.004288541895755443</v>
      </c>
    </row>
    <row r="11" spans="5:16" ht="4.5" customHeight="1">
      <c r="E11" s="129"/>
      <c r="G11" s="129"/>
      <c r="I11" s="127"/>
      <c r="L11" s="129"/>
      <c r="N11" s="129"/>
      <c r="P11" s="127"/>
    </row>
    <row r="12" spans="3:16" ht="11.25" customHeight="1">
      <c r="C12" s="77" t="s">
        <v>125</v>
      </c>
      <c r="D12" s="77"/>
      <c r="E12" s="175">
        <f>+'Segment  2007 Qtr'!Q11</f>
        <v>3082</v>
      </c>
      <c r="G12" s="175">
        <f>+'Segment  2007 Qtr'!Q32</f>
        <v>3066</v>
      </c>
      <c r="I12" s="127">
        <f>(+E12-G12)/G12</f>
        <v>0.005218525766470972</v>
      </c>
      <c r="K12" s="77"/>
      <c r="L12" s="175">
        <f>+'Segment  2007 YTD'!Q11</f>
        <v>6352</v>
      </c>
      <c r="N12" s="175">
        <f>+'Segment  2007 YTD'!Q32</f>
        <v>6376</v>
      </c>
      <c r="P12" s="127">
        <f>(+L12-N12)/N12</f>
        <v>-0.0037641154328732747</v>
      </c>
    </row>
    <row r="13" spans="3:16" ht="4.5" customHeight="1">
      <c r="C13" s="77"/>
      <c r="D13" s="77"/>
      <c r="E13" s="129"/>
      <c r="G13" s="129"/>
      <c r="I13" s="127"/>
      <c r="K13" s="77"/>
      <c r="L13" s="129"/>
      <c r="N13" s="129"/>
      <c r="P13" s="127"/>
    </row>
    <row r="14" spans="3:16" ht="11.25" customHeight="1">
      <c r="C14" s="77" t="s">
        <v>126</v>
      </c>
      <c r="D14" s="77"/>
      <c r="E14" s="175">
        <f>+'Segment  2007 Qtr'!Q12</f>
        <v>3008</v>
      </c>
      <c r="G14" s="175">
        <f>+'Segment  2007 Qtr'!Q33</f>
        <v>2906</v>
      </c>
      <c r="I14" s="127">
        <f>(+E14-G14)/G14</f>
        <v>0.03509979353062629</v>
      </c>
      <c r="K14" s="77"/>
      <c r="L14" s="175">
        <f>+'Segment  2007 YTD'!Q12</f>
        <v>6090</v>
      </c>
      <c r="N14" s="175">
        <f>+'Segment  2007 YTD'!Q33</f>
        <v>5711</v>
      </c>
      <c r="P14" s="127">
        <f>(+L14-N14)/N14</f>
        <v>0.06636315881631938</v>
      </c>
    </row>
    <row r="15" spans="3:14" ht="4.5" customHeight="1">
      <c r="C15" s="77"/>
      <c r="D15" s="77"/>
      <c r="E15" s="129"/>
      <c r="G15" s="129"/>
      <c r="K15" s="77"/>
      <c r="L15" s="129"/>
      <c r="N15" s="129"/>
    </row>
    <row r="16" spans="3:16" ht="11.25">
      <c r="C16" s="1" t="s">
        <v>121</v>
      </c>
      <c r="E16" s="175">
        <f>+'Segment  2007 Qtr'!Q19</f>
        <v>471</v>
      </c>
      <c r="G16" s="175">
        <f>+'Segment  2007 Qtr'!Q40</f>
        <v>390</v>
      </c>
      <c r="I16" s="241">
        <f>(+E16-G16)/G16</f>
        <v>0.2076923076923077</v>
      </c>
      <c r="L16" s="175">
        <f>+'Segment  2007 YTD'!Q19</f>
        <v>922</v>
      </c>
      <c r="N16" s="175">
        <f>+'Segment  2007 YTD'!Q40</f>
        <v>759</v>
      </c>
      <c r="P16" s="241">
        <f>(+L16-N16)/N16</f>
        <v>0.2147562582345191</v>
      </c>
    </row>
    <row r="17" spans="3:14" ht="4.5" customHeight="1">
      <c r="C17" s="14"/>
      <c r="D17" s="14"/>
      <c r="E17" s="21"/>
      <c r="G17" s="21"/>
      <c r="K17" s="14"/>
      <c r="L17" s="21"/>
      <c r="N17" s="21"/>
    </row>
    <row r="18" spans="3:16" ht="11.25">
      <c r="C18" s="1" t="s">
        <v>254</v>
      </c>
      <c r="E18" s="252">
        <f>+'Segment  2007 Qtr'!Q24</f>
        <v>649</v>
      </c>
      <c r="G18" s="252">
        <f>+'Segment  2007 Qtr'!Q45</f>
        <v>573</v>
      </c>
      <c r="I18" s="127">
        <f>(+E18-G18)/G18</f>
        <v>0.13263525305410123</v>
      </c>
      <c r="L18" s="252">
        <f>+'Segment  2007 YTD'!Q24</f>
        <v>1350</v>
      </c>
      <c r="N18" s="252">
        <f>+'Segment  2007 YTD'!Q47</f>
        <v>1062</v>
      </c>
      <c r="P18" s="127">
        <f>(+L18-N18)/N18</f>
        <v>0.2711864406779661</v>
      </c>
    </row>
    <row r="19" spans="5:14" ht="4.5" customHeight="1">
      <c r="E19" s="129"/>
      <c r="G19" s="129"/>
      <c r="L19" s="129"/>
      <c r="N19" s="129"/>
    </row>
    <row r="20" spans="3:16" ht="13.5" customHeight="1">
      <c r="C20" s="76" t="s">
        <v>330</v>
      </c>
      <c r="D20" s="49"/>
      <c r="E20" s="175">
        <f>+'Segment  2007 Qtr'!Q28</f>
        <v>664</v>
      </c>
      <c r="G20" s="175">
        <f>+'Segment  2007 Qtr'!Q49</f>
        <v>579</v>
      </c>
      <c r="I20" s="127">
        <f>(+E20-G20)/G20</f>
        <v>0.14680483592400692</v>
      </c>
      <c r="K20" s="49"/>
      <c r="L20" s="175">
        <f>+'Segment  2007 YTD'!Q28</f>
        <v>1327</v>
      </c>
      <c r="N20" s="175">
        <f>+'Segment  2007 YTD'!Q53</f>
        <v>1056</v>
      </c>
      <c r="P20" s="127">
        <f>(+L20-N20)/N20</f>
        <v>0.2566287878787879</v>
      </c>
    </row>
    <row r="21" spans="5:14" ht="4.5" customHeight="1">
      <c r="E21" s="129"/>
      <c r="G21" s="130"/>
      <c r="L21" s="129"/>
      <c r="N21" s="130"/>
    </row>
    <row r="22" spans="3:16" ht="11.25">
      <c r="C22" s="1" t="s">
        <v>3</v>
      </c>
      <c r="E22" s="252">
        <f>'Comprehensive Income'!H19</f>
        <v>274</v>
      </c>
      <c r="F22" s="42"/>
      <c r="G22" s="130">
        <f>+'Comprehensive Income'!L19</f>
        <v>375</v>
      </c>
      <c r="H22" s="42"/>
      <c r="I22" s="127">
        <f>(+E22-G22)/G22</f>
        <v>-0.2693333333333333</v>
      </c>
      <c r="L22" s="252">
        <f>+'Comprehensive Income'!N19</f>
        <v>1049</v>
      </c>
      <c r="M22" s="42"/>
      <c r="N22" s="130">
        <f>+'Comprehensive Income'!P19</f>
        <v>782</v>
      </c>
      <c r="O22" s="42"/>
      <c r="P22" s="127">
        <f>(+L22-N22)/N22</f>
        <v>0.3414322250639386</v>
      </c>
    </row>
    <row r="23" spans="5:16" ht="4.5" customHeight="1">
      <c r="E23" s="130"/>
      <c r="F23" s="42"/>
      <c r="G23" s="130"/>
      <c r="H23" s="42"/>
      <c r="I23" s="42"/>
      <c r="L23" s="130"/>
      <c r="M23" s="42"/>
      <c r="N23" s="130"/>
      <c r="O23" s="42"/>
      <c r="P23" s="42"/>
    </row>
    <row r="24" spans="3:16" ht="11.25">
      <c r="C24" s="1" t="s">
        <v>165</v>
      </c>
      <c r="E24" s="252">
        <v>1158</v>
      </c>
      <c r="G24" s="31">
        <v>882</v>
      </c>
      <c r="I24" s="127">
        <f>(+E24-G24)/G24</f>
        <v>0.3129251700680272</v>
      </c>
      <c r="L24" s="252">
        <f>1236+E24</f>
        <v>2394</v>
      </c>
      <c r="N24" s="31">
        <v>1968</v>
      </c>
      <c r="P24" s="127">
        <f>(+L24-N24)/N24</f>
        <v>0.21646341463414634</v>
      </c>
    </row>
    <row r="25" spans="5:14" ht="10.5" customHeight="1">
      <c r="E25" s="131"/>
      <c r="G25" s="132"/>
      <c r="L25" s="131"/>
      <c r="N25" s="132"/>
    </row>
    <row r="26" spans="3:14" ht="11.25">
      <c r="C26" s="179" t="s">
        <v>128</v>
      </c>
      <c r="E26" s="131"/>
      <c r="G26" s="132"/>
      <c r="L26" s="131"/>
      <c r="N26" s="132"/>
    </row>
    <row r="27" spans="3:16" ht="11.25" customHeight="1">
      <c r="C27" s="1" t="s">
        <v>123</v>
      </c>
      <c r="E27" s="16">
        <f>+'Consolidated Results'!D41</f>
        <v>0.614</v>
      </c>
      <c r="F27" s="258"/>
      <c r="G27" s="16">
        <f>+'Consolidated Results'!L41</f>
        <v>0.616</v>
      </c>
      <c r="H27" s="42"/>
      <c r="I27" s="555"/>
      <c r="L27" s="16">
        <f>+'Consolidated Results'!N41</f>
        <v>0.618</v>
      </c>
      <c r="M27" s="258"/>
      <c r="N27" s="16">
        <f>+'Consolidated Results'!P41</f>
        <v>0.614</v>
      </c>
      <c r="O27" s="42"/>
      <c r="P27" s="555"/>
    </row>
    <row r="28" spans="3:16" ht="11.25" customHeight="1">
      <c r="C28" s="1" t="s">
        <v>175</v>
      </c>
      <c r="E28" s="17">
        <f>+'Consolidated Results'!D42+'Consolidated Results'!D43</f>
        <v>0.262</v>
      </c>
      <c r="F28" s="258"/>
      <c r="G28" s="17">
        <f>+'Consolidated Results'!L42+'Consolidated Results'!L43</f>
        <v>0.266</v>
      </c>
      <c r="H28" s="42"/>
      <c r="I28" s="42"/>
      <c r="L28" s="17">
        <f>+'Consolidated Results'!N42+'Consolidated Results'!N43</f>
        <v>0.256</v>
      </c>
      <c r="M28" s="258"/>
      <c r="N28" s="17">
        <f>+'Consolidated Results'!P42+'Consolidated Results'!P43</f>
        <v>0.279</v>
      </c>
      <c r="O28" s="42"/>
      <c r="P28" s="42"/>
    </row>
    <row r="29" spans="3:16" ht="11.25" customHeight="1">
      <c r="C29" s="1" t="s">
        <v>54</v>
      </c>
      <c r="E29" s="378">
        <f>SUM(E27:E28)</f>
        <v>0.876</v>
      </c>
      <c r="F29" s="258"/>
      <c r="G29" s="378">
        <f>SUM(G27:G28)</f>
        <v>0.882</v>
      </c>
      <c r="H29" s="42"/>
      <c r="I29" s="42"/>
      <c r="L29" s="378">
        <f>SUM(L27:L28)</f>
        <v>0.874</v>
      </c>
      <c r="M29" s="258"/>
      <c r="N29" s="378">
        <f>SUM(N27:N28)</f>
        <v>0.893</v>
      </c>
      <c r="O29" s="42"/>
      <c r="P29" s="42"/>
    </row>
    <row r="30" spans="5:16" ht="8.25" customHeight="1">
      <c r="E30" s="16"/>
      <c r="F30" s="258"/>
      <c r="G30" s="16"/>
      <c r="H30" s="42"/>
      <c r="I30" s="42"/>
      <c r="L30" s="16"/>
      <c r="M30" s="258"/>
      <c r="N30" s="16"/>
      <c r="O30" s="42"/>
      <c r="P30" s="42"/>
    </row>
    <row r="31" spans="3:16" ht="11.25" customHeight="1">
      <c r="C31" s="1" t="s">
        <v>19</v>
      </c>
      <c r="E31" s="379">
        <v>0.18</v>
      </c>
      <c r="F31" s="42"/>
      <c r="G31" s="380">
        <v>0.193</v>
      </c>
      <c r="H31" s="42"/>
      <c r="I31" s="42"/>
      <c r="J31" s="75"/>
      <c r="L31" s="379">
        <v>0.184</v>
      </c>
      <c r="M31" s="42"/>
      <c r="N31" s="380">
        <v>0.179</v>
      </c>
      <c r="O31" s="42"/>
      <c r="P31" s="42"/>
    </row>
    <row r="32" spans="3:16" ht="11.25" customHeight="1">
      <c r="C32" s="78" t="s">
        <v>251</v>
      </c>
      <c r="E32" s="379">
        <v>0.186</v>
      </c>
      <c r="F32" s="42"/>
      <c r="G32" s="379">
        <v>0.195</v>
      </c>
      <c r="H32" s="42"/>
      <c r="I32" s="42"/>
      <c r="J32" s="75"/>
      <c r="L32" s="379">
        <v>0.19</v>
      </c>
      <c r="M32" s="42"/>
      <c r="N32" s="379">
        <v>0.181</v>
      </c>
      <c r="O32" s="42"/>
      <c r="P32" s="42"/>
    </row>
    <row r="33" spans="3:16" ht="6.75" customHeight="1">
      <c r="C33" s="78"/>
      <c r="E33" s="379"/>
      <c r="F33" s="42"/>
      <c r="G33" s="379"/>
      <c r="H33" s="42"/>
      <c r="I33" s="42"/>
      <c r="J33" s="75"/>
      <c r="L33" s="379"/>
      <c r="M33" s="42"/>
      <c r="N33" s="379"/>
      <c r="O33" s="42"/>
      <c r="P33" s="42"/>
    </row>
    <row r="34" spans="3:16" ht="11.25" customHeight="1">
      <c r="C34" s="78" t="s">
        <v>386</v>
      </c>
      <c r="E34" s="42"/>
      <c r="F34" s="42"/>
      <c r="G34" s="42"/>
      <c r="H34" s="42"/>
      <c r="I34" s="42"/>
      <c r="J34" s="75"/>
      <c r="L34" s="42"/>
      <c r="M34" s="42"/>
      <c r="N34" s="42"/>
      <c r="O34" s="42"/>
      <c r="P34" s="42"/>
    </row>
    <row r="35" spans="3:16" ht="11.25">
      <c r="C35" s="76" t="s">
        <v>387</v>
      </c>
      <c r="E35" s="449">
        <f>+'Consolidated Results'!D38</f>
        <v>0.19515151515151516</v>
      </c>
      <c r="F35" s="450"/>
      <c r="G35" s="449">
        <f>+'Consolidated Results'!L38</f>
        <v>0.18907563025210083</v>
      </c>
      <c r="H35" s="450"/>
      <c r="I35" s="450"/>
      <c r="J35" s="550"/>
      <c r="L35" s="449">
        <f>+'Consolidated Results'!N38</f>
        <v>0.19035997559487491</v>
      </c>
      <c r="M35" s="450"/>
      <c r="N35" s="449">
        <f>+'Consolidated Results'!R38</f>
        <v>0.19513865114686751</v>
      </c>
      <c r="O35" s="450"/>
      <c r="P35" s="450"/>
    </row>
    <row r="36" spans="5:16" ht="7.5" customHeight="1">
      <c r="E36" s="127"/>
      <c r="F36" s="42"/>
      <c r="G36" s="127"/>
      <c r="H36" s="42"/>
      <c r="I36" s="42"/>
      <c r="J36" s="75"/>
      <c r="L36" s="127"/>
      <c r="M36" s="42"/>
      <c r="N36" s="127"/>
      <c r="O36" s="42"/>
      <c r="P36" s="42"/>
    </row>
    <row r="37" spans="3:16" ht="11.25">
      <c r="C37" s="179" t="s">
        <v>300</v>
      </c>
      <c r="E37" s="42"/>
      <c r="F37" s="42"/>
      <c r="G37" s="42"/>
      <c r="H37" s="42"/>
      <c r="I37" s="42"/>
      <c r="J37" s="75"/>
      <c r="L37" s="42"/>
      <c r="M37" s="42"/>
      <c r="N37" s="42"/>
      <c r="O37" s="42"/>
      <c r="P37" s="42"/>
    </row>
    <row r="38" spans="3:16" ht="17.25" customHeight="1">
      <c r="C38" s="76" t="s">
        <v>338</v>
      </c>
      <c r="D38" s="116"/>
      <c r="E38" s="133">
        <f>+'Earnings per share '!D36</f>
        <v>1.98</v>
      </c>
      <c r="F38" s="42"/>
      <c r="G38" s="133">
        <f>+'Earnings per share '!F36</f>
        <v>1.74</v>
      </c>
      <c r="H38" s="42"/>
      <c r="I38" s="127">
        <f>(+E38-G38)/G38</f>
        <v>0.13793103448275862</v>
      </c>
      <c r="J38" s="118"/>
      <c r="K38" s="116"/>
      <c r="L38" s="133">
        <f>'Earnings per share '!H36</f>
        <v>3.95</v>
      </c>
      <c r="M38" s="42"/>
      <c r="N38" s="133">
        <f>'Earnings per share '!J36</f>
        <v>3.17</v>
      </c>
      <c r="O38" s="42"/>
      <c r="P38" s="127">
        <f>(+L38-N38)/N38</f>
        <v>0.24605678233438494</v>
      </c>
    </row>
    <row r="39" spans="3:16" ht="11.25" customHeight="1">
      <c r="C39" s="116" t="s">
        <v>254</v>
      </c>
      <c r="D39" s="116"/>
      <c r="E39" s="133">
        <f>+'Earnings per share '!D39</f>
        <v>1.93</v>
      </c>
      <c r="F39" s="42"/>
      <c r="G39" s="133">
        <f>+'Earnings per share '!F39</f>
        <v>1.72</v>
      </c>
      <c r="H39" s="42"/>
      <c r="I39" s="127">
        <f>(+E39-G39)/G39</f>
        <v>0.12209302325581393</v>
      </c>
      <c r="J39" s="118"/>
      <c r="K39" s="116"/>
      <c r="L39" s="133">
        <f>'Earnings per share '!H39</f>
        <v>4.0200000000000005</v>
      </c>
      <c r="M39" s="42"/>
      <c r="N39" s="133">
        <f>'Earnings per share '!J39</f>
        <v>3.1799999999999997</v>
      </c>
      <c r="O39" s="42"/>
      <c r="P39" s="127">
        <f>(+L39-N39)/N39</f>
        <v>0.2641509433962267</v>
      </c>
    </row>
    <row r="40" spans="5:16" ht="7.5" customHeight="1">
      <c r="E40" s="42"/>
      <c r="F40" s="42"/>
      <c r="G40" s="42"/>
      <c r="H40" s="42"/>
      <c r="I40" s="42"/>
      <c r="J40" s="75"/>
      <c r="L40" s="42"/>
      <c r="M40" s="42"/>
      <c r="N40" s="42"/>
      <c r="O40" s="42"/>
      <c r="P40" s="42"/>
    </row>
    <row r="41" spans="3:16" ht="11.25" customHeight="1">
      <c r="C41" s="1" t="s">
        <v>220</v>
      </c>
      <c r="E41" s="133">
        <f>+'Consol Bal Sheet'!E49</f>
        <v>44.45770404763247</v>
      </c>
      <c r="F41" s="42"/>
      <c r="G41" s="108">
        <v>36.6</v>
      </c>
      <c r="H41" s="42"/>
      <c r="I41" s="241">
        <f>(+E41-G41)/G41</f>
        <v>0.2146913674216521</v>
      </c>
      <c r="J41" s="75"/>
      <c r="L41" s="133">
        <f>+E41</f>
        <v>44.45770404763247</v>
      </c>
      <c r="M41" s="42"/>
      <c r="N41" s="108">
        <f>+G41</f>
        <v>36.6</v>
      </c>
      <c r="O41" s="42"/>
      <c r="P41" s="241">
        <f>(+L41-N41)/N41</f>
        <v>0.2146913674216521</v>
      </c>
    </row>
    <row r="42" spans="3:16" ht="11.25" customHeight="1">
      <c r="C42" s="1" t="s">
        <v>302</v>
      </c>
      <c r="E42" s="133">
        <f>+'Consol Bal Sheet'!E50</f>
        <v>36.15702791759321</v>
      </c>
      <c r="F42" s="42"/>
      <c r="G42" s="108">
        <v>28.29</v>
      </c>
      <c r="H42" s="42"/>
      <c r="I42" s="241">
        <f>(+E42-G42)/G42</f>
        <v>0.27808511550347165</v>
      </c>
      <c r="J42" s="75"/>
      <c r="L42" s="133">
        <f>+E42</f>
        <v>36.15702791759321</v>
      </c>
      <c r="M42" s="42"/>
      <c r="N42" s="108">
        <f>+G42</f>
        <v>28.29</v>
      </c>
      <c r="O42" s="42"/>
      <c r="P42" s="241">
        <f>(+L42-N42)/N42</f>
        <v>0.27808511550347165</v>
      </c>
    </row>
    <row r="43" spans="5:16" ht="4.5" customHeight="1">
      <c r="E43" s="133"/>
      <c r="F43" s="42"/>
      <c r="G43" s="133"/>
      <c r="H43" s="42"/>
      <c r="I43" s="42"/>
      <c r="J43" s="75"/>
      <c r="L43" s="133"/>
      <c r="M43" s="42"/>
      <c r="N43" s="133"/>
      <c r="O43" s="42"/>
      <c r="P43" s="42"/>
    </row>
    <row r="44" spans="3:16" ht="11.25" customHeight="1">
      <c r="C44" s="116" t="s">
        <v>294</v>
      </c>
      <c r="E44" s="30">
        <f>'Earnings per share '!D25/1000000</f>
        <v>324.5418684065934</v>
      </c>
      <c r="F44" s="42"/>
      <c r="G44" s="30">
        <f>'Earnings per share '!F25/1000000</f>
        <v>321.430985</v>
      </c>
      <c r="H44" s="42"/>
      <c r="I44" s="42"/>
      <c r="J44" s="75"/>
      <c r="L44" s="30">
        <f>'Earnings per share '!H25/1000000</f>
        <v>324.34477850828733</v>
      </c>
      <c r="M44" s="42"/>
      <c r="N44" s="30">
        <v>321.3</v>
      </c>
      <c r="O44" s="42"/>
      <c r="P44" s="42"/>
    </row>
    <row r="45" spans="3:16" ht="11.25" customHeight="1">
      <c r="C45" s="116" t="s">
        <v>80</v>
      </c>
      <c r="D45" s="116"/>
      <c r="E45" s="30">
        <f>'Earnings per share '!D27/1000000</f>
        <v>330.0732114065934</v>
      </c>
      <c r="F45" s="42"/>
      <c r="G45" s="30">
        <v>326.1</v>
      </c>
      <c r="H45" s="42"/>
      <c r="I45" s="127"/>
      <c r="J45" s="118"/>
      <c r="K45" s="116"/>
      <c r="L45" s="30">
        <f>'Earnings per share '!H27/1000000</f>
        <v>329.6580115082873</v>
      </c>
      <c r="M45" s="42"/>
      <c r="N45" s="30">
        <v>326.2</v>
      </c>
      <c r="O45" s="42"/>
      <c r="P45" s="127"/>
    </row>
    <row r="46" spans="5:16" ht="8.25" customHeight="1">
      <c r="E46" s="42"/>
      <c r="F46" s="42"/>
      <c r="G46" s="42"/>
      <c r="H46" s="42"/>
      <c r="I46" s="42"/>
      <c r="J46" s="75"/>
      <c r="L46" s="42"/>
      <c r="M46" s="42"/>
      <c r="N46" s="42"/>
      <c r="O46" s="42"/>
      <c r="P46" s="42"/>
    </row>
    <row r="47" spans="3:16" ht="11.25">
      <c r="C47" s="61" t="s">
        <v>197</v>
      </c>
      <c r="E47" s="380">
        <f>'Capital Structure'!D24</f>
        <v>0.1217618048863443</v>
      </c>
      <c r="F47" s="42"/>
      <c r="G47" s="380">
        <v>0.159</v>
      </c>
      <c r="H47" s="42"/>
      <c r="I47" s="42"/>
      <c r="J47" s="75"/>
      <c r="L47" s="380">
        <f>+E47</f>
        <v>0.1217618048863443</v>
      </c>
      <c r="M47" s="42"/>
      <c r="N47" s="380">
        <f>+G47</f>
        <v>0.159</v>
      </c>
      <c r="O47" s="42"/>
      <c r="P47" s="42"/>
    </row>
    <row r="48" spans="5:15" ht="8.25" customHeight="1">
      <c r="E48" s="42"/>
      <c r="F48" s="42"/>
      <c r="G48" s="42"/>
      <c r="H48" s="42"/>
      <c r="I48" s="42"/>
      <c r="J48" s="408"/>
      <c r="K48" s="408"/>
      <c r="L48" s="408"/>
      <c r="M48" s="408"/>
      <c r="N48" s="408"/>
      <c r="O48" s="408"/>
    </row>
    <row r="49" spans="3:15" ht="12" customHeight="1">
      <c r="C49" s="532" t="s">
        <v>442</v>
      </c>
      <c r="D49" s="261"/>
      <c r="E49" s="261"/>
      <c r="F49" s="261"/>
      <c r="G49" s="261"/>
      <c r="H49" s="261"/>
      <c r="I49" s="261"/>
      <c r="J49"/>
      <c r="K49"/>
      <c r="L49"/>
      <c r="M49"/>
      <c r="N49"/>
      <c r="O49"/>
    </row>
    <row r="50" spans="3:15" ht="13.5" customHeight="1">
      <c r="C50" s="625" t="s">
        <v>347</v>
      </c>
      <c r="D50" s="625"/>
      <c r="E50" s="625"/>
      <c r="F50" s="625"/>
      <c r="G50" s="625"/>
      <c r="H50" s="625"/>
      <c r="I50" s="625"/>
      <c r="J50" s="625"/>
      <c r="K50" s="625"/>
      <c r="L50" s="625"/>
      <c r="M50" s="625"/>
      <c r="N50"/>
      <c r="O50"/>
    </row>
    <row r="70" spans="3:15" ht="12.75">
      <c r="C70" s="622" t="s">
        <v>89</v>
      </c>
      <c r="D70" s="622"/>
      <c r="E70" s="622"/>
      <c r="F70" s="622"/>
      <c r="G70" s="622"/>
      <c r="H70" s="622"/>
      <c r="I70" s="622"/>
      <c r="J70" s="622"/>
      <c r="K70" s="622"/>
      <c r="L70" s="622"/>
      <c r="M70" s="622"/>
      <c r="N70" s="622"/>
      <c r="O70" s="622"/>
    </row>
    <row r="71" spans="3:15" ht="11.25">
      <c r="C71" s="623" t="s">
        <v>150</v>
      </c>
      <c r="D71" s="623"/>
      <c r="E71" s="623"/>
      <c r="F71" s="623"/>
      <c r="G71" s="623"/>
      <c r="H71" s="623"/>
      <c r="I71" s="623"/>
      <c r="J71" s="623"/>
      <c r="K71" s="623"/>
      <c r="L71" s="623"/>
      <c r="M71" s="623"/>
      <c r="N71" s="623"/>
      <c r="O71" s="623"/>
    </row>
    <row r="72" spans="3:15" ht="11.25">
      <c r="C72" s="626" t="s">
        <v>147</v>
      </c>
      <c r="D72" s="626"/>
      <c r="E72" s="626"/>
      <c r="F72" s="626"/>
      <c r="G72" s="626"/>
      <c r="H72" s="626"/>
      <c r="I72" s="626"/>
      <c r="J72" s="626"/>
      <c r="K72" s="626"/>
      <c r="L72" s="626"/>
      <c r="M72" s="626"/>
      <c r="N72" s="626"/>
      <c r="O72" s="626"/>
    </row>
    <row r="73" spans="3:17" ht="12.75">
      <c r="C73" s="626" t="s">
        <v>163</v>
      </c>
      <c r="D73" s="626"/>
      <c r="E73" s="626"/>
      <c r="F73" s="626"/>
      <c r="G73" s="626"/>
      <c r="H73" s="626"/>
      <c r="I73" s="626"/>
      <c r="J73" s="626"/>
      <c r="K73" s="626"/>
      <c r="L73" s="626"/>
      <c r="M73" s="626"/>
      <c r="N73" s="626"/>
      <c r="O73" s="626"/>
      <c r="P73"/>
      <c r="Q73"/>
    </row>
    <row r="74" spans="3:17" ht="12.75">
      <c r="C74" s="15"/>
      <c r="D74" s="15"/>
      <c r="E74" s="122"/>
      <c r="F74" s="122"/>
      <c r="G74" s="122"/>
      <c r="H74" s="122"/>
      <c r="I74" s="122" t="s">
        <v>159</v>
      </c>
      <c r="J74" s="15"/>
      <c r="K74" s="15"/>
      <c r="L74" s="122"/>
      <c r="M74" s="122"/>
      <c r="N74" s="122"/>
      <c r="O74" s="122"/>
      <c r="P74" s="122" t="s">
        <v>159</v>
      </c>
      <c r="Q74"/>
    </row>
    <row r="75" spans="3:17" ht="12.75" customHeight="1">
      <c r="C75" s="126"/>
      <c r="D75" s="620" t="str">
        <f>+D7</f>
        <v>Three months ended June 30</v>
      </c>
      <c r="E75" s="621"/>
      <c r="F75" s="621"/>
      <c r="G75" s="621"/>
      <c r="H75" s="621"/>
      <c r="I75" s="2" t="str">
        <f>+I7</f>
        <v>2Q-07 vs.</v>
      </c>
      <c r="J75" s="124"/>
      <c r="K75" s="620" t="str">
        <f>+K7</f>
        <v>Six months ended June 30</v>
      </c>
      <c r="L75" s="621"/>
      <c r="M75" s="621"/>
      <c r="N75" s="621"/>
      <c r="O75" s="621"/>
      <c r="P75" s="2" t="str">
        <f>+P7</f>
        <v>YTD-07 vs.</v>
      </c>
      <c r="Q75"/>
    </row>
    <row r="76" spans="3:17" ht="12.75">
      <c r="C76" s="15"/>
      <c r="D76" s="15"/>
      <c r="E76" s="570" t="str">
        <f>+E8</f>
        <v>2007</v>
      </c>
      <c r="F76" s="123"/>
      <c r="G76" s="570" t="str">
        <f>+G8</f>
        <v>2006</v>
      </c>
      <c r="H76" s="124"/>
      <c r="I76" s="60" t="str">
        <f>+I8</f>
        <v>2Q-06</v>
      </c>
      <c r="J76" s="15"/>
      <c r="K76" s="15"/>
      <c r="L76" s="570" t="str">
        <f>+L8</f>
        <v>2007</v>
      </c>
      <c r="M76" s="123"/>
      <c r="N76" s="570" t="str">
        <f>+N8</f>
        <v>2006</v>
      </c>
      <c r="O76" s="124"/>
      <c r="P76" s="60" t="str">
        <f>+P8</f>
        <v>YTD-06</v>
      </c>
      <c r="Q76"/>
    </row>
    <row r="77" spans="3:17" ht="12.75">
      <c r="C77" s="125"/>
      <c r="D77" s="125"/>
      <c r="E77" s="126"/>
      <c r="F77" s="126"/>
      <c r="G77" s="15"/>
      <c r="H77" s="15"/>
      <c r="J77" s="125"/>
      <c r="K77" s="125"/>
      <c r="L77" s="126"/>
      <c r="M77" s="126"/>
      <c r="N77" s="15"/>
      <c r="O77" s="15"/>
      <c r="Q77"/>
    </row>
    <row r="78" spans="2:17" ht="12.75">
      <c r="B78" s="15"/>
      <c r="C78" s="173" t="s">
        <v>124</v>
      </c>
      <c r="D78" s="174"/>
      <c r="E78" s="175">
        <f>+'Segment  2007 Qtr'!Q10</f>
        <v>4637</v>
      </c>
      <c r="F78" s="175"/>
      <c r="G78" s="344">
        <f>+'Segment  2007 Qtr'!Q31</f>
        <v>4583</v>
      </c>
      <c r="H78" s="175"/>
      <c r="I78" s="176">
        <f>(+E78-G78)/G78</f>
        <v>0.011782675103643902</v>
      </c>
      <c r="J78" s="174"/>
      <c r="K78" s="174"/>
      <c r="L78" s="129">
        <f>+'Segment  2007 YTD'!Q10</f>
        <v>9133</v>
      </c>
      <c r="M78" s="175"/>
      <c r="N78" s="129">
        <f>+'Segment  2007 YTD'!Q31</f>
        <v>9094</v>
      </c>
      <c r="O78" s="175"/>
      <c r="P78" s="176">
        <f>(+L78-N78)/N78</f>
        <v>0.004288541895755443</v>
      </c>
      <c r="Q78"/>
    </row>
    <row r="79" spans="2:17" ht="12.75">
      <c r="B79" s="15"/>
      <c r="C79" s="173"/>
      <c r="D79" s="174"/>
      <c r="E79" s="177"/>
      <c r="F79" s="177"/>
      <c r="G79" s="129"/>
      <c r="H79" s="177"/>
      <c r="I79" s="172"/>
      <c r="J79" s="174"/>
      <c r="K79" s="174"/>
      <c r="L79" s="177"/>
      <c r="M79" s="177"/>
      <c r="N79" s="129"/>
      <c r="O79" s="177"/>
      <c r="P79" s="172"/>
      <c r="Q79"/>
    </row>
    <row r="80" spans="2:17" ht="12.75">
      <c r="B80" s="15"/>
      <c r="C80" s="173" t="s">
        <v>125</v>
      </c>
      <c r="D80" s="174"/>
      <c r="E80" s="175">
        <f>+'Segment  2007 Qtr'!Q11</f>
        <v>3082</v>
      </c>
      <c r="F80" s="175"/>
      <c r="G80" s="344">
        <f>+'Segment  2007 Qtr'!Q32</f>
        <v>3066</v>
      </c>
      <c r="H80" s="178"/>
      <c r="I80" s="176">
        <f>(+E80-G80)/G80</f>
        <v>0.005218525766470972</v>
      </c>
      <c r="J80" s="174"/>
      <c r="K80" s="174"/>
      <c r="L80" s="129">
        <f>+'Segment  2007 YTD'!Q11</f>
        <v>6352</v>
      </c>
      <c r="M80" s="178"/>
      <c r="N80" s="129">
        <f>+'Segment  2007 YTD'!Q32</f>
        <v>6376</v>
      </c>
      <c r="O80" s="178"/>
      <c r="P80" s="176">
        <f>(+L80-N80)/N80</f>
        <v>-0.0037641154328732747</v>
      </c>
      <c r="Q80"/>
    </row>
    <row r="81" spans="2:17" ht="12.75">
      <c r="B81" s="15"/>
      <c r="C81" s="173"/>
      <c r="D81" s="174"/>
      <c r="E81" s="178"/>
      <c r="F81" s="178"/>
      <c r="G81" s="129"/>
      <c r="H81" s="178"/>
      <c r="I81" s="172"/>
      <c r="J81" s="174"/>
      <c r="K81" s="174"/>
      <c r="L81" s="178"/>
      <c r="M81" s="178"/>
      <c r="N81" s="129"/>
      <c r="O81" s="178"/>
      <c r="P81" s="172"/>
      <c r="Q81"/>
    </row>
    <row r="82" spans="2:17" ht="12.75">
      <c r="B82" s="15"/>
      <c r="C82" s="173" t="s">
        <v>126</v>
      </c>
      <c r="D82" s="174"/>
      <c r="E82" s="175">
        <f>+'Segment  2007 Qtr'!Q12</f>
        <v>3008</v>
      </c>
      <c r="F82" s="175"/>
      <c r="G82" s="344">
        <f>+'Segment  2007 Qtr'!Q33</f>
        <v>2906</v>
      </c>
      <c r="H82" s="178"/>
      <c r="I82" s="176">
        <f>(+E82-G82)/G82</f>
        <v>0.03509979353062629</v>
      </c>
      <c r="J82" s="174"/>
      <c r="K82" s="174"/>
      <c r="L82" s="129">
        <f>+'Segment  2007 YTD'!Q12</f>
        <v>6090</v>
      </c>
      <c r="M82" s="178"/>
      <c r="N82" s="129">
        <f>+'Segment  2007 YTD'!Q33</f>
        <v>5711</v>
      </c>
      <c r="O82" s="178"/>
      <c r="P82" s="176">
        <f>(+L82-N82)/N82</f>
        <v>0.06636315881631938</v>
      </c>
      <c r="Q82"/>
    </row>
    <row r="83" spans="2:17" ht="12.75">
      <c r="B83" s="15"/>
      <c r="C83" s="173"/>
      <c r="D83" s="173"/>
      <c r="E83" s="173"/>
      <c r="F83" s="173"/>
      <c r="G83" s="173"/>
      <c r="H83" s="173"/>
      <c r="I83" s="172"/>
      <c r="J83" s="173"/>
      <c r="K83" s="173"/>
      <c r="L83" s="173"/>
      <c r="M83" s="173"/>
      <c r="N83" s="173"/>
      <c r="O83" s="173"/>
      <c r="P83" s="172"/>
      <c r="Q83"/>
    </row>
    <row r="84" spans="2:17" ht="12.75">
      <c r="B84" s="15"/>
      <c r="C84" s="15" t="s">
        <v>119</v>
      </c>
      <c r="D84" s="15"/>
      <c r="E84" s="10">
        <f>+'Segment  2007 Qtr'!M13</f>
        <v>1793</v>
      </c>
      <c r="F84" s="10"/>
      <c r="G84" s="53">
        <f>+'Segment  2007 Qtr'!M34</f>
        <v>1748</v>
      </c>
      <c r="H84" s="10"/>
      <c r="I84" s="127">
        <f>(+E84-G84)/G84</f>
        <v>0.02574370709382151</v>
      </c>
      <c r="J84" s="15"/>
      <c r="K84" s="15"/>
      <c r="L84" s="10">
        <f>+'Segment  2007 YTD'!Q13</f>
        <v>3653</v>
      </c>
      <c r="M84" s="10"/>
      <c r="N84" s="10">
        <f>+'Segment  2007 YTD'!Q34</f>
        <v>3428</v>
      </c>
      <c r="O84" s="10"/>
      <c r="P84" s="127">
        <f>(+L84-N84)/N84</f>
        <v>0.06563593932322054</v>
      </c>
      <c r="Q84"/>
    </row>
    <row r="85" spans="2:17" ht="12.75">
      <c r="B85" s="15"/>
      <c r="C85" s="15" t="s">
        <v>118</v>
      </c>
      <c r="D85" s="15"/>
      <c r="E85" s="10">
        <f>+'Segment  2007 Qtr'!Q14</f>
        <v>33</v>
      </c>
      <c r="F85" s="10"/>
      <c r="G85" s="53">
        <f>+'Segment  2007 Qtr'!Q35</f>
        <v>34</v>
      </c>
      <c r="H85" s="10"/>
      <c r="I85" s="127">
        <f>(+E85-G85)/G85</f>
        <v>-0.029411764705882353</v>
      </c>
      <c r="J85" s="15"/>
      <c r="K85" s="15"/>
      <c r="L85" s="10">
        <f>+'Segment  2007 YTD'!Q14</f>
        <v>69</v>
      </c>
      <c r="M85" s="10"/>
      <c r="N85" s="10">
        <f>+'Segment  2007 YTD'!Q35</f>
        <v>62</v>
      </c>
      <c r="O85" s="10"/>
      <c r="P85" s="127">
        <f>(+L85-N85)/N85</f>
        <v>0.11290322580645161</v>
      </c>
      <c r="Q85"/>
    </row>
    <row r="86" spans="2:18" ht="12.75">
      <c r="B86" s="15"/>
      <c r="C86" s="15" t="s">
        <v>129</v>
      </c>
      <c r="D86" s="15"/>
      <c r="E86" s="10">
        <f>+'Segment  2007 Qtr'!Q15</f>
        <v>434</v>
      </c>
      <c r="F86" s="10"/>
      <c r="G86" s="53">
        <f>+'Segment  2007 Qtr'!Q36</f>
        <v>427</v>
      </c>
      <c r="H86" s="10"/>
      <c r="I86" s="127">
        <f>(+E86-G86)/G86</f>
        <v>0.01639344262295082</v>
      </c>
      <c r="J86" s="15"/>
      <c r="K86" s="15"/>
      <c r="L86" s="10">
        <f>+'Segment  2007 YTD'!Q15</f>
        <v>851</v>
      </c>
      <c r="M86" s="10"/>
      <c r="N86" s="10">
        <f>+'Segment  2007 YTD'!Q36</f>
        <v>845</v>
      </c>
      <c r="O86" s="10"/>
      <c r="P86" s="127">
        <f>(+L86-N86)/N86</f>
        <v>0.007100591715976331</v>
      </c>
      <c r="Q86"/>
      <c r="R86" s="343"/>
    </row>
    <row r="87" spans="2:18" ht="12.75">
      <c r="B87" s="15"/>
      <c r="C87" s="15" t="s">
        <v>127</v>
      </c>
      <c r="D87" s="15"/>
      <c r="E87" s="13">
        <f>+'Segment  2007 Qtr'!Q16</f>
        <v>356</v>
      </c>
      <c r="F87" s="13"/>
      <c r="G87" s="251">
        <f>+'Segment  2007 Qtr'!Q37</f>
        <v>340</v>
      </c>
      <c r="H87" s="10"/>
      <c r="I87" s="128">
        <f>(+E87-G87)/G87</f>
        <v>0.047058823529411764</v>
      </c>
      <c r="J87" s="15"/>
      <c r="K87" s="15"/>
      <c r="L87" s="13">
        <f>+'Segment  2007 YTD'!Q16</f>
        <v>712</v>
      </c>
      <c r="M87" s="13"/>
      <c r="N87" s="13">
        <f>+'Segment  2007 YTD'!Q37</f>
        <v>738</v>
      </c>
      <c r="O87" s="10"/>
      <c r="P87" s="128">
        <f>(+L87-N87)/N87</f>
        <v>-0.03523035230352303</v>
      </c>
      <c r="Q87"/>
      <c r="R87" s="343"/>
    </row>
    <row r="88" spans="2:19" ht="12.75">
      <c r="B88" s="15"/>
      <c r="C88" s="173" t="s">
        <v>55</v>
      </c>
      <c r="D88" s="173"/>
      <c r="E88" s="175">
        <f>+E82-E84-E85-E86-E87</f>
        <v>392</v>
      </c>
      <c r="F88" s="177"/>
      <c r="G88" s="175">
        <f>+G82-G84-G85-G86-G87</f>
        <v>357</v>
      </c>
      <c r="H88" s="177"/>
      <c r="I88" s="176">
        <f>(+E88-G88)/G88</f>
        <v>0.09803921568627451</v>
      </c>
      <c r="J88" s="173"/>
      <c r="K88" s="173"/>
      <c r="L88" s="175">
        <f>+L82-L84-L85-L86-L87</f>
        <v>805</v>
      </c>
      <c r="M88" s="177"/>
      <c r="N88" s="175">
        <f>+N82-N84-N85-N86-N87</f>
        <v>638</v>
      </c>
      <c r="O88" s="177"/>
      <c r="P88" s="176">
        <f>(+L88-N88)/N88</f>
        <v>0.2617554858934169</v>
      </c>
      <c r="Q88"/>
      <c r="R88" s="343"/>
      <c r="S88" s="343"/>
    </row>
    <row r="89" spans="2:17" ht="12.75">
      <c r="B89" s="15"/>
      <c r="C89" s="173"/>
      <c r="D89" s="173"/>
      <c r="E89" s="199"/>
      <c r="F89" s="199"/>
      <c r="G89" s="253"/>
      <c r="H89" s="199"/>
      <c r="I89" s="172"/>
      <c r="J89" s="173"/>
      <c r="K89" s="173"/>
      <c r="L89" s="199"/>
      <c r="M89" s="199"/>
      <c r="N89" s="253"/>
      <c r="O89" s="199"/>
      <c r="P89" s="172"/>
      <c r="Q89"/>
    </row>
    <row r="90" spans="2:17" ht="12.75">
      <c r="B90" s="15"/>
      <c r="C90" s="173" t="s">
        <v>121</v>
      </c>
      <c r="D90" s="173"/>
      <c r="E90" s="177">
        <f>+'Segment  2007 Qtr'!Q19</f>
        <v>471</v>
      </c>
      <c r="F90" s="177"/>
      <c r="G90" s="202">
        <f>+'Segment  2007 Qtr'!Q40</f>
        <v>390</v>
      </c>
      <c r="H90" s="177"/>
      <c r="I90" s="176">
        <f>(+E90-G90)/G90</f>
        <v>0.2076923076923077</v>
      </c>
      <c r="J90" s="173"/>
      <c r="K90" s="173"/>
      <c r="L90" s="177">
        <f>+'Segment  2007 YTD'!Q19</f>
        <v>922</v>
      </c>
      <c r="M90" s="177"/>
      <c r="N90" s="202">
        <f>+'Segment  2007 YTD'!Q40</f>
        <v>759</v>
      </c>
      <c r="O90" s="177"/>
      <c r="P90" s="176">
        <f>(+L90-N90)/N90</f>
        <v>0.2147562582345191</v>
      </c>
      <c r="Q90"/>
    </row>
    <row r="91" spans="2:17" ht="12.75">
      <c r="B91" s="15"/>
      <c r="C91" s="173" t="s">
        <v>198</v>
      </c>
      <c r="D91" s="173"/>
      <c r="E91" s="202">
        <f>+'Segment  2007 Qtr'!Q20</f>
        <v>-11</v>
      </c>
      <c r="F91" s="202"/>
      <c r="G91" s="202">
        <f>+'Segment  2007 Qtr'!Q41</f>
        <v>-7</v>
      </c>
      <c r="H91" s="177"/>
      <c r="I91" s="176">
        <f>(+E91-G91)/G91</f>
        <v>0.5714285714285714</v>
      </c>
      <c r="J91" s="173"/>
      <c r="K91" s="173"/>
      <c r="L91" s="177">
        <f>+'Segment  2007 YTD'!Q20</f>
        <v>5</v>
      </c>
      <c r="M91" s="202"/>
      <c r="N91" s="202">
        <f>+'Segment  2007 YTD'!Q41</f>
        <v>0</v>
      </c>
      <c r="O91" s="177"/>
      <c r="P91" s="200" t="s">
        <v>194</v>
      </c>
      <c r="Q91"/>
    </row>
    <row r="92" spans="2:17" ht="12.75">
      <c r="B92" s="15"/>
      <c r="C92" s="173" t="s">
        <v>139</v>
      </c>
      <c r="D92" s="173"/>
      <c r="E92" s="177">
        <f>+'Segment  2007 Qtr'!Q21</f>
        <v>42</v>
      </c>
      <c r="F92" s="177"/>
      <c r="G92" s="202">
        <f>+'Segment  2007 Qtr'!Q42</f>
        <v>45</v>
      </c>
      <c r="H92" s="177"/>
      <c r="I92" s="176">
        <f>(+E92-G92)/G92</f>
        <v>-0.06666666666666667</v>
      </c>
      <c r="J92" s="173"/>
      <c r="K92" s="173"/>
      <c r="L92" s="177">
        <f>+'Segment  2007 YTD'!Q21</f>
        <v>88</v>
      </c>
      <c r="M92" s="177"/>
      <c r="N92" s="202">
        <f>+'Segment  2007 YTD'!Q42</f>
        <v>88</v>
      </c>
      <c r="O92" s="177"/>
      <c r="P92" s="176">
        <f>(+L92-N92)/N92</f>
        <v>0</v>
      </c>
      <c r="Q92"/>
    </row>
    <row r="93" spans="2:17" ht="12.75">
      <c r="B93" s="15"/>
      <c r="C93" s="1" t="s">
        <v>246</v>
      </c>
      <c r="D93" s="173"/>
      <c r="E93" s="177">
        <f>+'Segment  2007 Qtr'!Q22</f>
        <v>-4</v>
      </c>
      <c r="F93" s="177"/>
      <c r="G93" s="202">
        <f>+'Segment  2007 Qtr'!Q43</f>
        <v>-12</v>
      </c>
      <c r="H93" s="177"/>
      <c r="I93" s="200" t="s">
        <v>194</v>
      </c>
      <c r="J93" s="173"/>
      <c r="K93" s="173"/>
      <c r="L93" s="177">
        <f>+'Segment  2007 YTD'!Q22</f>
        <v>0</v>
      </c>
      <c r="M93" s="177"/>
      <c r="N93" s="202">
        <f>+'Segment  2007 YTD'!Q43</f>
        <v>-17</v>
      </c>
      <c r="O93" s="177"/>
      <c r="P93" s="200" t="s">
        <v>194</v>
      </c>
      <c r="Q93"/>
    </row>
    <row r="94" spans="2:17" ht="12.75">
      <c r="B94" s="15"/>
      <c r="C94" s="173" t="s">
        <v>122</v>
      </c>
      <c r="D94" s="173"/>
      <c r="E94" s="202">
        <f>+'Segment  2007 Qtr'!Q23</f>
        <v>165</v>
      </c>
      <c r="F94" s="177"/>
      <c r="G94" s="202">
        <f>+'Segment  2007 Qtr'!Q44</f>
        <v>134</v>
      </c>
      <c r="H94" s="177"/>
      <c r="I94" s="176">
        <f>(+E94-G94)/G94</f>
        <v>0.23134328358208955</v>
      </c>
      <c r="J94" s="173"/>
      <c r="K94" s="173"/>
      <c r="L94" s="202">
        <f>+'Segment  2007 YTD'!Q23</f>
        <v>294</v>
      </c>
      <c r="M94" s="177"/>
      <c r="N94" s="202">
        <f>+'Segment  2007 YTD'!Q44</f>
        <v>268</v>
      </c>
      <c r="O94" s="177"/>
      <c r="P94" s="176">
        <f>(+L94-N94)/N94</f>
        <v>0.09701492537313433</v>
      </c>
      <c r="Q94"/>
    </row>
    <row r="95" spans="2:17" ht="14.25" customHeight="1">
      <c r="B95" s="15"/>
      <c r="C95" s="201" t="s">
        <v>339</v>
      </c>
      <c r="D95" s="173"/>
      <c r="E95" s="13">
        <v>0</v>
      </c>
      <c r="F95" s="13"/>
      <c r="G95" s="13">
        <v>0</v>
      </c>
      <c r="H95" s="10"/>
      <c r="I95" s="508" t="s">
        <v>194</v>
      </c>
      <c r="J95" s="173"/>
      <c r="K95" s="173"/>
      <c r="L95" s="13">
        <f>+'Segment  2007 YTD'!Q25</f>
        <v>0</v>
      </c>
      <c r="M95" s="13"/>
      <c r="N95" s="13">
        <f>+'Segment  2007 YTD'!Q46</f>
        <v>4</v>
      </c>
      <c r="O95" s="10"/>
      <c r="P95" s="508">
        <f>(+L95-N95)/N95</f>
        <v>-1</v>
      </c>
      <c r="Q95"/>
    </row>
    <row r="96" spans="2:17" ht="12.75">
      <c r="B96" s="15"/>
      <c r="C96" s="173" t="s">
        <v>206</v>
      </c>
      <c r="D96" s="173"/>
      <c r="E96" s="175">
        <f>+E88+E90-E93-E92-E94+E91+E95</f>
        <v>649</v>
      </c>
      <c r="F96" s="177"/>
      <c r="G96" s="175">
        <f>+G88+G90-G93-G92-G94+G91+G95</f>
        <v>573</v>
      </c>
      <c r="H96" s="177"/>
      <c r="I96" s="176">
        <f>(+E96-G96)/G96</f>
        <v>0.13263525305410123</v>
      </c>
      <c r="J96" s="173"/>
      <c r="K96" s="173"/>
      <c r="L96" s="175">
        <f>+L88+L90-L93-L92-L94+L91+L95</f>
        <v>1350</v>
      </c>
      <c r="M96" s="177"/>
      <c r="N96" s="175">
        <f>+N88+N90-N93-N92-N94+N91+N95</f>
        <v>1062</v>
      </c>
      <c r="O96" s="177"/>
      <c r="P96" s="176">
        <f>(+L96-N96)/N96</f>
        <v>0.2711864406779661</v>
      </c>
      <c r="Q96"/>
    </row>
    <row r="97" spans="2:17" ht="6.75" customHeight="1">
      <c r="B97" s="15"/>
      <c r="D97" s="173"/>
      <c r="E97" s="199"/>
      <c r="F97" s="199"/>
      <c r="G97" s="253"/>
      <c r="H97" s="199"/>
      <c r="I97" s="172"/>
      <c r="J97" s="173"/>
      <c r="K97" s="173"/>
      <c r="L97" s="175"/>
      <c r="M97" s="177"/>
      <c r="N97" s="175"/>
      <c r="O97" s="177"/>
      <c r="P97" s="200"/>
      <c r="Q97"/>
    </row>
    <row r="98" spans="2:17" ht="12.75">
      <c r="B98" s="15"/>
      <c r="C98" s="173" t="s">
        <v>198</v>
      </c>
      <c r="D98" s="173"/>
      <c r="E98" s="202">
        <f>+E91</f>
        <v>-11</v>
      </c>
      <c r="F98" s="202"/>
      <c r="G98" s="202">
        <f>+G91</f>
        <v>-7</v>
      </c>
      <c r="H98" s="177"/>
      <c r="I98" s="176">
        <f>(+E98-G98)/G98</f>
        <v>0.5714285714285714</v>
      </c>
      <c r="J98" s="173"/>
      <c r="K98" s="173"/>
      <c r="L98" s="202">
        <f>+L91</f>
        <v>5</v>
      </c>
      <c r="M98" s="202"/>
      <c r="N98" s="202">
        <f>+N91</f>
        <v>0</v>
      </c>
      <c r="O98" s="177"/>
      <c r="P98" s="200" t="s">
        <v>194</v>
      </c>
      <c r="Q98"/>
    </row>
    <row r="99" spans="2:17" ht="12.75">
      <c r="B99" s="15"/>
      <c r="C99" s="173" t="s">
        <v>247</v>
      </c>
      <c r="D99" s="173"/>
      <c r="E99" s="202">
        <f>+'Segment  2007 Qtr'!Q27</f>
        <v>4</v>
      </c>
      <c r="F99" s="202"/>
      <c r="G99" s="202">
        <f>+'Segment  2007 Qtr'!Q48</f>
        <v>-1</v>
      </c>
      <c r="H99" s="177"/>
      <c r="I99" s="176">
        <f>(+E99-G99)/G99</f>
        <v>-5</v>
      </c>
      <c r="J99" s="173"/>
      <c r="K99" s="173"/>
      <c r="L99" s="202">
        <f>+'Segment  2007 YTD'!Q27</f>
        <v>-18</v>
      </c>
      <c r="M99" s="202"/>
      <c r="N99" s="202">
        <f>+'Segment  2007 YTD'!Q50</f>
        <v>-2</v>
      </c>
      <c r="O99" s="177"/>
      <c r="P99" s="176">
        <f>(+L99-N99)/N99</f>
        <v>8</v>
      </c>
      <c r="Q99"/>
    </row>
    <row r="100" spans="2:17" ht="12.75">
      <c r="B100" s="15"/>
      <c r="C100" s="201" t="s">
        <v>339</v>
      </c>
      <c r="D100" s="173"/>
      <c r="E100" s="13">
        <f>+E95</f>
        <v>0</v>
      </c>
      <c r="F100" s="13"/>
      <c r="G100" s="13">
        <v>0</v>
      </c>
      <c r="H100" s="10"/>
      <c r="I100" s="200" t="s">
        <v>194</v>
      </c>
      <c r="J100" s="498"/>
      <c r="K100" s="498"/>
      <c r="L100" s="202">
        <f>+'Segment  2007 YTD'!Q30</f>
        <v>0</v>
      </c>
      <c r="M100" s="202"/>
      <c r="N100" s="202">
        <f>+'Segment  2007 YTD'!Q52</f>
        <v>4</v>
      </c>
      <c r="O100" s="177"/>
      <c r="P100" s="200" t="s">
        <v>194</v>
      </c>
      <c r="Q100"/>
    </row>
    <row r="101" spans="2:17" ht="13.5" thickBot="1">
      <c r="B101" s="15"/>
      <c r="C101" s="201" t="s">
        <v>115</v>
      </c>
      <c r="D101" s="173"/>
      <c r="E101" s="254">
        <f>+E96-E98+E99-E100</f>
        <v>664</v>
      </c>
      <c r="F101" s="191"/>
      <c r="G101" s="254">
        <f>+G96-G98+G99-G100</f>
        <v>579</v>
      </c>
      <c r="H101" s="175"/>
      <c r="I101" s="203">
        <f>(+E101-G101)/G101</f>
        <v>0.14680483592400692</v>
      </c>
      <c r="J101" s="498"/>
      <c r="K101" s="498"/>
      <c r="L101" s="254">
        <f>+L96-L98+L99-L100</f>
        <v>1327</v>
      </c>
      <c r="M101" s="191"/>
      <c r="N101" s="254">
        <f>+N96-N98+N99-N100</f>
        <v>1056</v>
      </c>
      <c r="O101" s="175"/>
      <c r="P101" s="203">
        <f>(+L101-N101)/N101</f>
        <v>0.2566287878787879</v>
      </c>
      <c r="Q101"/>
    </row>
    <row r="102" spans="10:17" ht="13.5" thickTop="1">
      <c r="J102"/>
      <c r="K102" s="202"/>
      <c r="L102" s="202"/>
      <c r="M102" s="202"/>
      <c r="N102" s="202"/>
      <c r="O102" s="335"/>
      <c r="P102"/>
      <c r="Q102"/>
    </row>
    <row r="103" spans="10:17" ht="12.75">
      <c r="J103"/>
      <c r="K103" s="252"/>
      <c r="L103" s="252"/>
      <c r="M103" s="252"/>
      <c r="N103" s="252"/>
      <c r="O103" s="335"/>
      <c r="P103"/>
      <c r="Q103"/>
    </row>
    <row r="104" spans="10:17" ht="12.75">
      <c r="J104"/>
      <c r="K104"/>
      <c r="L104"/>
      <c r="M104"/>
      <c r="N104"/>
      <c r="O104"/>
      <c r="P104"/>
      <c r="Q104"/>
    </row>
    <row r="105" spans="10:17" ht="12.75">
      <c r="J105"/>
      <c r="K105"/>
      <c r="L105"/>
      <c r="M105"/>
      <c r="N105"/>
      <c r="O105"/>
      <c r="P105"/>
      <c r="Q105"/>
    </row>
    <row r="106" spans="10:17" ht="12.75">
      <c r="J106"/>
      <c r="K106"/>
      <c r="L106"/>
      <c r="M106"/>
      <c r="N106"/>
      <c r="O106"/>
      <c r="P106"/>
      <c r="Q106"/>
    </row>
    <row r="107" spans="10:17" ht="12.75">
      <c r="J107"/>
      <c r="K107"/>
      <c r="L107"/>
      <c r="M107"/>
      <c r="N107"/>
      <c r="O107"/>
      <c r="P107"/>
      <c r="Q107"/>
    </row>
    <row r="108" spans="10:17" ht="12.75">
      <c r="J108"/>
      <c r="K108"/>
      <c r="L108"/>
      <c r="M108"/>
      <c r="N108"/>
      <c r="O108"/>
      <c r="P108"/>
      <c r="Q108"/>
    </row>
    <row r="109" spans="10:17" ht="12.75">
      <c r="J109"/>
      <c r="K109"/>
      <c r="L109"/>
      <c r="M109"/>
      <c r="N109"/>
      <c r="O109"/>
      <c r="P109"/>
      <c r="Q109"/>
    </row>
    <row r="110" spans="11:15" ht="12.75">
      <c r="K110"/>
      <c r="L110"/>
      <c r="M110"/>
      <c r="N110"/>
      <c r="O110"/>
    </row>
    <row r="111" spans="11:15" ht="12.75">
      <c r="K111"/>
      <c r="L111"/>
      <c r="M111"/>
      <c r="N111"/>
      <c r="O111"/>
    </row>
  </sheetData>
  <mergeCells count="15">
    <mergeCell ref="D75:H75"/>
    <mergeCell ref="C72:O72"/>
    <mergeCell ref="C71:O71"/>
    <mergeCell ref="C70:O70"/>
    <mergeCell ref="C73:O73"/>
    <mergeCell ref="K7:O7"/>
    <mergeCell ref="K75:O75"/>
    <mergeCell ref="E6:G6"/>
    <mergeCell ref="C1:P1"/>
    <mergeCell ref="C2:P2"/>
    <mergeCell ref="C3:P3"/>
    <mergeCell ref="C4:P4"/>
    <mergeCell ref="L6:N6"/>
    <mergeCell ref="D7:H7"/>
    <mergeCell ref="C50:M50"/>
  </mergeCells>
  <hyperlinks>
    <hyperlink ref="C49" location="'Reconciliation Non-GAAP'!Print_Area" display="(1) See page 23 Non-GAAP Financial Measures."/>
  </hyperlinks>
  <printOptions/>
  <pageMargins left="0.5" right="0.5" top="0.5" bottom="0.55" header="0.75" footer="0.3"/>
  <pageSetup horizontalDpi="600" verticalDpi="600" orientation="landscape" r:id="rId2"/>
  <headerFooter alignWithMargins="0">
    <oddFooter>&amp;L&amp;A&amp;R&amp;"Arial,Regular"&amp;8Page 1</oddFooter>
  </headerFooter>
  <drawing r:id="rId1"/>
</worksheet>
</file>

<file path=xl/worksheets/sheet4.xml><?xml version="1.0" encoding="utf-8"?>
<worksheet xmlns="http://schemas.openxmlformats.org/spreadsheetml/2006/main" xmlns:r="http://schemas.openxmlformats.org/officeDocument/2006/relationships">
  <sheetPr codeName="Sheet171">
    <pageSetUpPr fitToPage="1"/>
  </sheetPr>
  <dimension ref="C1:Y116"/>
  <sheetViews>
    <sheetView workbookViewId="0" topLeftCell="A1">
      <selection activeCell="A1" sqref="A1"/>
    </sheetView>
  </sheetViews>
  <sheetFormatPr defaultColWidth="9.33203125" defaultRowHeight="12.75"/>
  <cols>
    <col min="1" max="1" width="1.83203125" style="1" customWidth="1"/>
    <col min="2" max="2" width="3.33203125" style="1" customWidth="1"/>
    <col min="3" max="3" width="46.83203125" style="1" customWidth="1"/>
    <col min="4" max="4" width="9.83203125" style="1" customWidth="1"/>
    <col min="5" max="5" width="2.33203125" style="1" customWidth="1"/>
    <col min="6" max="6" width="9.83203125" style="1" customWidth="1"/>
    <col min="7" max="7" width="2.33203125" style="7" customWidth="1"/>
    <col min="8" max="8" width="9.83203125" style="1" customWidth="1"/>
    <col min="9" max="9" width="2.33203125" style="7" customWidth="1"/>
    <col min="10" max="10" width="9.83203125" style="1" customWidth="1"/>
    <col min="11" max="11" width="2.33203125" style="7" customWidth="1"/>
    <col min="12" max="12" width="9.83203125" style="1" customWidth="1"/>
    <col min="13" max="13" width="2.33203125" style="7" customWidth="1"/>
    <col min="14" max="14" width="9.83203125" style="7" customWidth="1"/>
    <col min="15" max="15" width="2.33203125" style="7" customWidth="1"/>
    <col min="16" max="16" width="9.83203125" style="7" customWidth="1"/>
    <col min="17" max="17" width="2.33203125" style="7" customWidth="1"/>
    <col min="18" max="18" width="9.83203125" style="7" customWidth="1"/>
    <col min="19" max="19" width="2.33203125" style="7" customWidth="1"/>
    <col min="20" max="20" width="8.5" style="1" customWidth="1"/>
    <col min="21" max="21" width="15" style="1" customWidth="1"/>
    <col min="22" max="22" width="6" style="1" customWidth="1"/>
    <col min="23" max="16384" width="9" style="1" customWidth="1"/>
  </cols>
  <sheetData>
    <row r="1" spans="3:22" ht="12.75">
      <c r="C1" s="622" t="s">
        <v>89</v>
      </c>
      <c r="D1" s="622"/>
      <c r="E1" s="622"/>
      <c r="F1" s="622"/>
      <c r="G1" s="622"/>
      <c r="H1" s="622"/>
      <c r="I1" s="622"/>
      <c r="J1" s="622"/>
      <c r="K1" s="622"/>
      <c r="L1" s="622"/>
      <c r="M1" s="622"/>
      <c r="N1" s="622"/>
      <c r="O1" s="622"/>
      <c r="P1" s="622"/>
      <c r="Q1" s="622"/>
      <c r="R1" s="622"/>
      <c r="S1" s="622"/>
      <c r="T1" s="346"/>
      <c r="U1" s="346"/>
      <c r="V1" s="346"/>
    </row>
    <row r="2" spans="3:22" ht="12.75" customHeight="1">
      <c r="C2" s="623" t="s">
        <v>222</v>
      </c>
      <c r="D2" s="623"/>
      <c r="E2" s="623"/>
      <c r="F2" s="623"/>
      <c r="G2" s="623"/>
      <c r="H2" s="623"/>
      <c r="I2" s="623"/>
      <c r="J2" s="623"/>
      <c r="K2" s="623"/>
      <c r="L2" s="623"/>
      <c r="M2" s="623"/>
      <c r="N2" s="623"/>
      <c r="O2" s="623"/>
      <c r="P2" s="623"/>
      <c r="Q2" s="623"/>
      <c r="R2" s="623"/>
      <c r="S2" s="623"/>
      <c r="T2" s="54"/>
      <c r="U2" s="54"/>
      <c r="V2" s="54"/>
    </row>
    <row r="3" spans="3:20" ht="12.75" customHeight="1">
      <c r="C3" s="626" t="s">
        <v>147</v>
      </c>
      <c r="D3" s="626"/>
      <c r="E3" s="626"/>
      <c r="F3" s="626"/>
      <c r="G3" s="626"/>
      <c r="H3" s="626"/>
      <c r="I3" s="626"/>
      <c r="J3" s="626"/>
      <c r="K3" s="626"/>
      <c r="L3" s="626"/>
      <c r="M3" s="626"/>
      <c r="N3" s="626"/>
      <c r="O3" s="626"/>
      <c r="P3" s="626"/>
      <c r="Q3" s="626"/>
      <c r="R3" s="626"/>
      <c r="S3" s="626"/>
      <c r="T3" s="347"/>
    </row>
    <row r="4" spans="3:20" ht="12.75" customHeight="1">
      <c r="C4" s="626" t="s">
        <v>163</v>
      </c>
      <c r="D4" s="626"/>
      <c r="E4" s="626"/>
      <c r="F4" s="626"/>
      <c r="G4" s="626"/>
      <c r="H4" s="626"/>
      <c r="I4" s="626"/>
      <c r="J4" s="626"/>
      <c r="K4" s="626"/>
      <c r="L4" s="626"/>
      <c r="M4" s="626"/>
      <c r="N4" s="626"/>
      <c r="O4" s="626"/>
      <c r="P4" s="626"/>
      <c r="Q4" s="626"/>
      <c r="R4" s="626"/>
      <c r="S4" s="626"/>
      <c r="T4" s="347"/>
    </row>
    <row r="5" spans="3:20" ht="11.25" customHeight="1">
      <c r="C5" s="507"/>
      <c r="D5" s="300"/>
      <c r="E5" s="3"/>
      <c r="F5" s="2"/>
      <c r="G5" s="5"/>
      <c r="H5" s="255"/>
      <c r="I5" s="410"/>
      <c r="J5" s="255"/>
      <c r="K5" s="410"/>
      <c r="L5" s="255"/>
      <c r="M5" s="410"/>
      <c r="N5" s="255" t="s">
        <v>256</v>
      </c>
      <c r="O5" s="410"/>
      <c r="P5" s="255" t="s">
        <v>256</v>
      </c>
      <c r="Q5" s="410"/>
      <c r="R5" s="255" t="s">
        <v>17</v>
      </c>
      <c r="S5" s="410"/>
      <c r="T5" s="2"/>
    </row>
    <row r="6" spans="3:20" ht="12.75">
      <c r="C6" s="3" t="s">
        <v>164</v>
      </c>
      <c r="D6" s="4" t="s">
        <v>428</v>
      </c>
      <c r="E6" s="3"/>
      <c r="F6" s="4" t="s">
        <v>375</v>
      </c>
      <c r="G6" s="3"/>
      <c r="H6" s="4" t="s">
        <v>361</v>
      </c>
      <c r="I6" s="3"/>
      <c r="J6" s="4" t="s">
        <v>354</v>
      </c>
      <c r="K6" s="5"/>
      <c r="L6" s="4" t="s">
        <v>352</v>
      </c>
      <c r="N6" s="6">
        <v>2007</v>
      </c>
      <c r="P6" s="6">
        <v>2006</v>
      </c>
      <c r="R6" s="6">
        <v>2006</v>
      </c>
      <c r="T6" s="122"/>
    </row>
    <row r="7" spans="3:18" ht="12.75" customHeight="1">
      <c r="C7" s="1" t="s">
        <v>371</v>
      </c>
      <c r="F7" s="2"/>
      <c r="H7" s="2"/>
      <c r="J7" s="2"/>
      <c r="L7" s="2"/>
      <c r="N7" s="167"/>
      <c r="P7" s="167"/>
      <c r="R7" s="167"/>
    </row>
    <row r="8" spans="3:19" ht="11.25">
      <c r="C8" s="1" t="s">
        <v>124</v>
      </c>
      <c r="D8" s="31">
        <f>'Segment  2007 Qtr'!M10</f>
        <v>4545</v>
      </c>
      <c r="F8" s="31">
        <v>4406</v>
      </c>
      <c r="G8" s="32"/>
      <c r="H8" s="31">
        <v>3932</v>
      </c>
      <c r="I8" s="32"/>
      <c r="J8" s="31">
        <v>4228</v>
      </c>
      <c r="K8" s="75"/>
      <c r="L8" s="31">
        <v>4517</v>
      </c>
      <c r="M8" s="75"/>
      <c r="N8" s="31">
        <f aca="true" t="shared" si="0" ref="N8:N13">+F8+D8</f>
        <v>8951</v>
      </c>
      <c r="O8" s="75"/>
      <c r="P8" s="31">
        <v>8967</v>
      </c>
      <c r="Q8" s="75"/>
      <c r="R8" s="31">
        <v>17127</v>
      </c>
      <c r="S8" s="75"/>
    </row>
    <row r="9" spans="3:19" ht="11.25">
      <c r="C9" s="1" t="s">
        <v>125</v>
      </c>
      <c r="D9" s="63">
        <f>'Segment  2007 Qtr'!M11</f>
        <v>2995</v>
      </c>
      <c r="F9" s="63">
        <v>3182</v>
      </c>
      <c r="G9" s="38"/>
      <c r="H9" s="63">
        <v>2786</v>
      </c>
      <c r="I9" s="38"/>
      <c r="J9" s="63">
        <v>2721</v>
      </c>
      <c r="K9" s="75"/>
      <c r="L9" s="63">
        <v>3000</v>
      </c>
      <c r="M9" s="75"/>
      <c r="N9" s="63">
        <f t="shared" si="0"/>
        <v>6177</v>
      </c>
      <c r="O9" s="75"/>
      <c r="P9" s="63">
        <v>6249</v>
      </c>
      <c r="Q9" s="75"/>
      <c r="R9" s="63">
        <v>11756</v>
      </c>
      <c r="S9" s="75"/>
    </row>
    <row r="10" spans="3:19" ht="11.25">
      <c r="C10" s="1" t="s">
        <v>126</v>
      </c>
      <c r="D10" s="63">
        <f>'Segment  2007 Qtr'!M12</f>
        <v>2921</v>
      </c>
      <c r="F10" s="63">
        <v>2994</v>
      </c>
      <c r="G10" s="38"/>
      <c r="H10" s="63">
        <v>2948</v>
      </c>
      <c r="I10" s="38"/>
      <c r="J10" s="63">
        <v>3019</v>
      </c>
      <c r="K10" s="75"/>
      <c r="L10" s="63">
        <v>2840</v>
      </c>
      <c r="M10" s="75"/>
      <c r="N10" s="63">
        <f t="shared" si="0"/>
        <v>5915</v>
      </c>
      <c r="O10" s="75"/>
      <c r="P10" s="63">
        <v>5584</v>
      </c>
      <c r="Q10" s="75"/>
      <c r="R10" s="63">
        <v>11551</v>
      </c>
      <c r="S10" s="75"/>
    </row>
    <row r="11" spans="3:19" ht="11.25">
      <c r="C11" s="172" t="s">
        <v>119</v>
      </c>
      <c r="D11" s="63">
        <f>'Segment  2007 Qtr'!M13</f>
        <v>1793</v>
      </c>
      <c r="E11" s="172"/>
      <c r="F11" s="63">
        <v>1860</v>
      </c>
      <c r="G11" s="38"/>
      <c r="H11" s="63">
        <v>1824</v>
      </c>
      <c r="I11" s="38"/>
      <c r="J11" s="63">
        <v>1818</v>
      </c>
      <c r="K11" s="75"/>
      <c r="L11" s="63">
        <v>1748</v>
      </c>
      <c r="M11" s="75"/>
      <c r="N11" s="63">
        <f t="shared" si="0"/>
        <v>3653</v>
      </c>
      <c r="O11" s="75"/>
      <c r="P11" s="63">
        <v>3428</v>
      </c>
      <c r="Q11" s="75"/>
      <c r="R11" s="63">
        <v>7070</v>
      </c>
      <c r="S11" s="75"/>
    </row>
    <row r="12" spans="3:19" ht="11.25">
      <c r="C12" s="172" t="s">
        <v>129</v>
      </c>
      <c r="D12" s="63">
        <f>'Segment  2007 Qtr'!M15</f>
        <v>422</v>
      </c>
      <c r="E12" s="172"/>
      <c r="F12" s="63">
        <v>406</v>
      </c>
      <c r="G12" s="38"/>
      <c r="H12" s="63">
        <v>424</v>
      </c>
      <c r="I12" s="38"/>
      <c r="J12" s="63">
        <v>430</v>
      </c>
      <c r="K12" s="75"/>
      <c r="L12" s="63">
        <v>423</v>
      </c>
      <c r="M12" s="75"/>
      <c r="N12" s="63">
        <f t="shared" si="0"/>
        <v>828</v>
      </c>
      <c r="O12" s="75"/>
      <c r="P12" s="63">
        <v>835</v>
      </c>
      <c r="Q12" s="75"/>
      <c r="R12" s="63">
        <v>1689</v>
      </c>
      <c r="S12" s="75"/>
    </row>
    <row r="13" spans="3:20" ht="11.25">
      <c r="C13" s="172" t="s">
        <v>127</v>
      </c>
      <c r="D13" s="63">
        <f>'Segment  2007 Qtr'!M16</f>
        <v>344</v>
      </c>
      <c r="E13" s="172"/>
      <c r="F13" s="63">
        <v>344</v>
      </c>
      <c r="G13" s="38"/>
      <c r="H13" s="63">
        <v>353</v>
      </c>
      <c r="I13" s="38"/>
      <c r="J13" s="63">
        <v>345</v>
      </c>
      <c r="K13" s="75"/>
      <c r="L13" s="63">
        <v>332</v>
      </c>
      <c r="M13" s="75"/>
      <c r="N13" s="63">
        <f t="shared" si="0"/>
        <v>688</v>
      </c>
      <c r="O13" s="75"/>
      <c r="P13" s="63">
        <v>723</v>
      </c>
      <c r="Q13" s="75"/>
      <c r="R13" s="63">
        <v>1421</v>
      </c>
      <c r="S13" s="75"/>
      <c r="T13" s="274"/>
    </row>
    <row r="14" spans="3:20" ht="11.25">
      <c r="C14" s="172" t="s">
        <v>406</v>
      </c>
      <c r="D14" s="409">
        <f>+D10-D11-D12-D13</f>
        <v>362</v>
      </c>
      <c r="E14" s="172"/>
      <c r="F14" s="409">
        <f>+F10-F11-F12-F13</f>
        <v>384</v>
      </c>
      <c r="G14" s="213"/>
      <c r="H14" s="409">
        <f>+H10-H11-H12-H13</f>
        <v>347</v>
      </c>
      <c r="I14" s="213"/>
      <c r="J14" s="409">
        <f>+J10-J11-J12-J13</f>
        <v>426</v>
      </c>
      <c r="K14" s="75"/>
      <c r="L14" s="409">
        <f>+L10-L11-L12-L13</f>
        <v>337</v>
      </c>
      <c r="M14" s="250"/>
      <c r="N14" s="409">
        <f>+N10-N11-N12-N13</f>
        <v>746</v>
      </c>
      <c r="O14" s="250"/>
      <c r="P14" s="409">
        <f>+P10-P11-P12-P13</f>
        <v>598</v>
      </c>
      <c r="Q14" s="250"/>
      <c r="R14" s="409">
        <f>+R10-R11-R12-R13</f>
        <v>1371</v>
      </c>
      <c r="S14" s="250"/>
      <c r="T14" s="274"/>
    </row>
    <row r="15" spans="3:21" ht="5.25" customHeight="1">
      <c r="C15" s="172"/>
      <c r="D15" s="372"/>
      <c r="E15" s="172"/>
      <c r="F15" s="372"/>
      <c r="G15" s="268"/>
      <c r="H15" s="372"/>
      <c r="I15" s="268"/>
      <c r="J15" s="372"/>
      <c r="K15" s="75"/>
      <c r="L15" s="372"/>
      <c r="M15" s="75"/>
      <c r="N15" s="372"/>
      <c r="O15" s="75"/>
      <c r="P15" s="372"/>
      <c r="Q15" s="75"/>
      <c r="R15" s="372"/>
      <c r="S15" s="75"/>
      <c r="T15" s="274"/>
      <c r="U15" s="8"/>
    </row>
    <row r="16" spans="3:21" ht="11.25">
      <c r="C16" s="172" t="s">
        <v>295</v>
      </c>
      <c r="D16" s="224">
        <f>+'Segment  2007 Qtr'!O17</f>
        <v>30</v>
      </c>
      <c r="E16" s="172"/>
      <c r="F16" s="224">
        <v>29</v>
      </c>
      <c r="G16" s="202"/>
      <c r="H16" s="224">
        <v>25</v>
      </c>
      <c r="I16" s="202"/>
      <c r="J16" s="224">
        <v>25</v>
      </c>
      <c r="K16" s="75"/>
      <c r="L16" s="224">
        <v>20</v>
      </c>
      <c r="M16" s="75"/>
      <c r="N16" s="63">
        <f aca="true" t="shared" si="1" ref="N16:N22">+F16+D16</f>
        <v>59</v>
      </c>
      <c r="O16" s="75"/>
      <c r="P16" s="63">
        <v>40</v>
      </c>
      <c r="Q16" s="75"/>
      <c r="R16" s="63">
        <v>90</v>
      </c>
      <c r="S16" s="75"/>
      <c r="T16" s="274"/>
      <c r="U16" s="8"/>
    </row>
    <row r="17" spans="3:21" ht="11.25">
      <c r="C17" s="172" t="s">
        <v>7</v>
      </c>
      <c r="D17" s="224">
        <f>+'Segment  2007 Qtr'!Q19</f>
        <v>471</v>
      </c>
      <c r="E17" s="172"/>
      <c r="F17" s="224">
        <v>451</v>
      </c>
      <c r="G17" s="218"/>
      <c r="H17" s="224">
        <v>428</v>
      </c>
      <c r="I17" s="218"/>
      <c r="J17" s="224">
        <v>414</v>
      </c>
      <c r="K17" s="75"/>
      <c r="L17" s="224">
        <v>390</v>
      </c>
      <c r="M17" s="75"/>
      <c r="N17" s="63">
        <f t="shared" si="1"/>
        <v>922</v>
      </c>
      <c r="O17" s="75"/>
      <c r="P17" s="63">
        <v>759</v>
      </c>
      <c r="Q17" s="75"/>
      <c r="R17" s="63">
        <v>1601</v>
      </c>
      <c r="S17" s="75"/>
      <c r="T17" s="274"/>
      <c r="U17" s="8"/>
    </row>
    <row r="18" spans="3:21" ht="11.25" customHeight="1">
      <c r="C18" s="173" t="s">
        <v>166</v>
      </c>
      <c r="D18" s="224">
        <f>+'Segment  2007 Qtr'!Q26</f>
        <v>-11</v>
      </c>
      <c r="E18" s="173"/>
      <c r="F18" s="224">
        <v>16</v>
      </c>
      <c r="G18" s="202"/>
      <c r="H18" s="224">
        <v>15</v>
      </c>
      <c r="I18" s="202"/>
      <c r="J18" s="224">
        <v>-113</v>
      </c>
      <c r="K18" s="75"/>
      <c r="L18" s="224">
        <v>-7</v>
      </c>
      <c r="M18" s="75"/>
      <c r="N18" s="63">
        <f t="shared" si="1"/>
        <v>5</v>
      </c>
      <c r="O18" s="75"/>
      <c r="P18" s="63">
        <v>0</v>
      </c>
      <c r="Q18" s="75"/>
      <c r="R18" s="63">
        <v>-98</v>
      </c>
      <c r="S18" s="75"/>
      <c r="T18" s="274"/>
      <c r="U18" s="8"/>
    </row>
    <row r="19" spans="3:21" ht="11.25" customHeight="1">
      <c r="C19" s="172" t="s">
        <v>139</v>
      </c>
      <c r="D19" s="224">
        <f>+'Segment  2007 Qtr'!Q21</f>
        <v>42</v>
      </c>
      <c r="E19" s="172"/>
      <c r="F19" s="224">
        <v>46</v>
      </c>
      <c r="G19" s="218"/>
      <c r="H19" s="224">
        <v>42</v>
      </c>
      <c r="I19" s="218"/>
      <c r="J19" s="224">
        <v>46</v>
      </c>
      <c r="K19" s="75"/>
      <c r="L19" s="224">
        <v>45</v>
      </c>
      <c r="M19" s="75"/>
      <c r="N19" s="63">
        <f t="shared" si="1"/>
        <v>88</v>
      </c>
      <c r="O19" s="75"/>
      <c r="P19" s="63">
        <v>88</v>
      </c>
      <c r="Q19" s="75"/>
      <c r="R19" s="63">
        <v>176</v>
      </c>
      <c r="S19" s="75"/>
      <c r="T19" s="274"/>
      <c r="U19" s="8"/>
    </row>
    <row r="20" spans="3:21" ht="11.25">
      <c r="C20" s="1" t="s">
        <v>246</v>
      </c>
      <c r="D20" s="224">
        <f>+'Segment  2007 Qtr'!Q22</f>
        <v>-4</v>
      </c>
      <c r="F20" s="224">
        <v>4</v>
      </c>
      <c r="G20" s="218"/>
      <c r="H20" s="224">
        <v>-16</v>
      </c>
      <c r="I20" s="218"/>
      <c r="J20" s="224">
        <v>-2</v>
      </c>
      <c r="K20" s="75"/>
      <c r="L20" s="224">
        <v>-12</v>
      </c>
      <c r="M20" s="75"/>
      <c r="N20" s="63">
        <f t="shared" si="1"/>
        <v>0</v>
      </c>
      <c r="O20" s="75"/>
      <c r="P20" s="63">
        <v>-17</v>
      </c>
      <c r="Q20" s="75"/>
      <c r="R20" s="63">
        <v>-35</v>
      </c>
      <c r="S20" s="75"/>
      <c r="T20" s="274"/>
      <c r="U20" s="8"/>
    </row>
    <row r="21" spans="3:21" ht="11.25">
      <c r="C21" s="172" t="s">
        <v>151</v>
      </c>
      <c r="D21" s="218">
        <f>+'Segment  2007 Qtr'!Q23</f>
        <v>165</v>
      </c>
      <c r="E21" s="181"/>
      <c r="F21" s="218">
        <v>129</v>
      </c>
      <c r="G21" s="218"/>
      <c r="H21" s="218">
        <v>124</v>
      </c>
      <c r="I21" s="218"/>
      <c r="J21" s="218">
        <v>130</v>
      </c>
      <c r="K21" s="75"/>
      <c r="L21" s="218">
        <v>134</v>
      </c>
      <c r="M21" s="75"/>
      <c r="N21" s="63">
        <f t="shared" si="1"/>
        <v>294</v>
      </c>
      <c r="O21" s="75"/>
      <c r="P21" s="63">
        <v>268</v>
      </c>
      <c r="Q21" s="75"/>
      <c r="R21" s="63">
        <v>522</v>
      </c>
      <c r="S21" s="75"/>
      <c r="T21" s="274"/>
      <c r="U21" s="8"/>
    </row>
    <row r="22" spans="3:21" ht="22.5">
      <c r="C22" s="201" t="s">
        <v>337</v>
      </c>
      <c r="D22" s="395">
        <v>0</v>
      </c>
      <c r="E22" s="172"/>
      <c r="F22" s="395">
        <v>0</v>
      </c>
      <c r="G22" s="218"/>
      <c r="H22" s="395">
        <v>0</v>
      </c>
      <c r="I22" s="218"/>
      <c r="J22" s="395">
        <v>0</v>
      </c>
      <c r="K22" s="75"/>
      <c r="L22" s="395">
        <v>0</v>
      </c>
      <c r="M22" s="75"/>
      <c r="N22" s="229">
        <f t="shared" si="1"/>
        <v>0</v>
      </c>
      <c r="O22" s="75"/>
      <c r="P22" s="229">
        <v>4</v>
      </c>
      <c r="Q22" s="75"/>
      <c r="R22" s="229">
        <v>4</v>
      </c>
      <c r="S22" s="75"/>
      <c r="T22" s="274"/>
      <c r="U22" s="8"/>
    </row>
    <row r="23" spans="3:21" ht="13.5" customHeight="1">
      <c r="C23" s="172" t="s">
        <v>366</v>
      </c>
      <c r="D23" s="213">
        <f>+D14+D16+D17-D20+D18-D19-D21+D22</f>
        <v>649</v>
      </c>
      <c r="E23" s="172"/>
      <c r="F23" s="213">
        <f>+F14+F16+F17-F20+F18-F19-F21+F22</f>
        <v>701</v>
      </c>
      <c r="G23" s="213"/>
      <c r="H23" s="213">
        <f>+H14+H16+H17-H20+H18-H19-H21+H22</f>
        <v>665</v>
      </c>
      <c r="I23" s="213"/>
      <c r="J23" s="213">
        <f>+J14+J16+J17-J20+J18-J19-J21+J22</f>
        <v>578</v>
      </c>
      <c r="K23" s="75"/>
      <c r="L23" s="213">
        <f>+L14+L16+L17-L20+L18-L19-L21+L22</f>
        <v>573</v>
      </c>
      <c r="M23" s="250"/>
      <c r="N23" s="213">
        <f>+N14+N16+N17-N20+N18-N19-N21+N22</f>
        <v>1350</v>
      </c>
      <c r="O23" s="250"/>
      <c r="P23" s="213">
        <f>+P14+P16+P17-P20+P18-P19-P21+P22</f>
        <v>1062</v>
      </c>
      <c r="Q23" s="250"/>
      <c r="R23" s="213">
        <f>+R14+R16+R17-R20+R18-R19-R21+R22</f>
        <v>2305</v>
      </c>
      <c r="S23" s="250"/>
      <c r="T23" s="274"/>
      <c r="U23" s="8"/>
    </row>
    <row r="24" spans="3:21" ht="6.75" customHeight="1">
      <c r="C24" s="172"/>
      <c r="D24" s="258"/>
      <c r="E24" s="172"/>
      <c r="F24" s="258"/>
      <c r="G24" s="213"/>
      <c r="H24" s="258"/>
      <c r="I24" s="213"/>
      <c r="J24" s="258"/>
      <c r="K24" s="75"/>
      <c r="L24" s="258"/>
      <c r="M24" s="213"/>
      <c r="N24" s="258"/>
      <c r="O24" s="213"/>
      <c r="P24" s="258"/>
      <c r="Q24" s="213"/>
      <c r="R24" s="258"/>
      <c r="S24" s="213"/>
      <c r="T24" s="274"/>
      <c r="U24" s="8"/>
    </row>
    <row r="25" spans="3:21" ht="11.25" customHeight="1">
      <c r="C25" s="173" t="s">
        <v>166</v>
      </c>
      <c r="D25" s="224">
        <f>+'Segment  2007 Qtr'!Q26</f>
        <v>-11</v>
      </c>
      <c r="E25" s="173"/>
      <c r="F25" s="224">
        <v>16</v>
      </c>
      <c r="G25" s="202"/>
      <c r="H25" s="224">
        <v>15</v>
      </c>
      <c r="I25" s="202"/>
      <c r="J25" s="354">
        <v>-113</v>
      </c>
      <c r="K25" s="424"/>
      <c r="L25" s="354">
        <v>-7</v>
      </c>
      <c r="M25" s="424"/>
      <c r="N25" s="63">
        <f>+F25+D25</f>
        <v>5</v>
      </c>
      <c r="O25" s="75"/>
      <c r="P25" s="63">
        <v>0</v>
      </c>
      <c r="Q25" s="424"/>
      <c r="R25" s="63">
        <v>-98</v>
      </c>
      <c r="S25" s="424"/>
      <c r="T25" s="274"/>
      <c r="U25" s="8"/>
    </row>
    <row r="26" spans="3:21" ht="11.25">
      <c r="C26" s="173" t="s">
        <v>247</v>
      </c>
      <c r="D26" s="218">
        <f>'Segment  2007 Qtr'!Q27</f>
        <v>4</v>
      </c>
      <c r="E26" s="173"/>
      <c r="F26" s="218">
        <v>-22</v>
      </c>
      <c r="G26" s="202"/>
      <c r="H26" s="218">
        <v>-7</v>
      </c>
      <c r="I26" s="202"/>
      <c r="J26" s="354">
        <v>-39</v>
      </c>
      <c r="K26" s="424"/>
      <c r="L26" s="354">
        <v>-1</v>
      </c>
      <c r="M26" s="424"/>
      <c r="N26" s="63">
        <f>+F26+D26</f>
        <v>-18</v>
      </c>
      <c r="O26" s="75"/>
      <c r="P26" s="63">
        <v>-2</v>
      </c>
      <c r="Q26" s="424"/>
      <c r="R26" s="63">
        <v>-48</v>
      </c>
      <c r="S26" s="424"/>
      <c r="T26" s="274"/>
      <c r="U26" s="8"/>
    </row>
    <row r="27" spans="3:21" ht="13.5" customHeight="1">
      <c r="C27" s="588" t="s">
        <v>337</v>
      </c>
      <c r="D27" s="395">
        <v>0</v>
      </c>
      <c r="E27" s="173"/>
      <c r="F27" s="218">
        <v>0</v>
      </c>
      <c r="G27" s="202"/>
      <c r="H27" s="218">
        <v>0</v>
      </c>
      <c r="I27" s="202"/>
      <c r="J27" s="354">
        <v>0</v>
      </c>
      <c r="K27" s="424"/>
      <c r="L27" s="354">
        <v>0</v>
      </c>
      <c r="M27" s="424"/>
      <c r="N27" s="63">
        <f>+F27+D27</f>
        <v>0</v>
      </c>
      <c r="O27" s="75"/>
      <c r="P27" s="63">
        <v>4</v>
      </c>
      <c r="Q27" s="424"/>
      <c r="R27" s="63">
        <v>4</v>
      </c>
      <c r="S27" s="424"/>
      <c r="T27" s="274"/>
      <c r="U27" s="8"/>
    </row>
    <row r="28" spans="3:21" ht="21.75" customHeight="1" thickBot="1">
      <c r="C28" s="201" t="s">
        <v>367</v>
      </c>
      <c r="D28" s="212">
        <f>+D23-D25+D26-D27</f>
        <v>664</v>
      </c>
      <c r="E28" s="172"/>
      <c r="F28" s="212">
        <f>+F23-F25+F26-F27</f>
        <v>663</v>
      </c>
      <c r="G28" s="213"/>
      <c r="H28" s="212">
        <f>+H23-H25+H26-H27</f>
        <v>643</v>
      </c>
      <c r="I28" s="213"/>
      <c r="J28" s="212">
        <f>+J23-J25+J26-J27</f>
        <v>652</v>
      </c>
      <c r="K28" s="75"/>
      <c r="L28" s="212">
        <f>+L23-L25+L26-L27</f>
        <v>579</v>
      </c>
      <c r="M28" s="250"/>
      <c r="N28" s="212">
        <f>+N23-N25+N26-N27</f>
        <v>1327</v>
      </c>
      <c r="O28" s="250"/>
      <c r="P28" s="212">
        <f>+P23-P25+P26-P27</f>
        <v>1056</v>
      </c>
      <c r="Q28" s="250"/>
      <c r="R28" s="212">
        <f>+R23-R25+R26-R27</f>
        <v>2351</v>
      </c>
      <c r="S28" s="250"/>
      <c r="T28" s="274"/>
      <c r="U28" s="8"/>
    </row>
    <row r="29" spans="3:20" ht="7.5" customHeight="1" thickTop="1">
      <c r="C29" s="185"/>
      <c r="D29" s="185"/>
      <c r="E29" s="185"/>
      <c r="G29" s="209"/>
      <c r="I29" s="209"/>
      <c r="J29" s="209"/>
      <c r="L29" s="209"/>
      <c r="M29" s="209"/>
      <c r="N29" s="209"/>
      <c r="O29" s="209"/>
      <c r="P29" s="209"/>
      <c r="Q29" s="209"/>
      <c r="R29" s="209"/>
      <c r="S29" s="209"/>
      <c r="T29" s="209"/>
    </row>
    <row r="30" spans="4:22" ht="6" customHeight="1">
      <c r="D30" s="534"/>
      <c r="E30" s="534"/>
      <c r="F30" s="534"/>
      <c r="G30" s="535"/>
      <c r="H30" s="534"/>
      <c r="I30" s="535"/>
      <c r="J30" s="534"/>
      <c r="K30" s="535"/>
      <c r="L30" s="534"/>
      <c r="M30" s="535"/>
      <c r="N30" s="534"/>
      <c r="O30" s="535"/>
      <c r="P30" s="534"/>
      <c r="Q30" s="535"/>
      <c r="R30" s="534"/>
      <c r="S30" s="535"/>
      <c r="T30" s="168"/>
      <c r="U30" s="172"/>
      <c r="V30" s="172"/>
    </row>
    <row r="31" spans="3:22" ht="12.75" customHeight="1">
      <c r="C31" s="14" t="s">
        <v>325</v>
      </c>
      <c r="D31" s="536"/>
      <c r="E31" s="536"/>
      <c r="F31" s="534"/>
      <c r="G31" s="535"/>
      <c r="H31" s="534"/>
      <c r="I31" s="535"/>
      <c r="J31" s="534"/>
      <c r="K31" s="535"/>
      <c r="L31" s="534"/>
      <c r="M31" s="535"/>
      <c r="N31" s="534"/>
      <c r="O31" s="535"/>
      <c r="P31" s="573"/>
      <c r="Q31" s="535"/>
      <c r="R31" s="534"/>
      <c r="S31" s="535"/>
      <c r="T31" s="204"/>
      <c r="U31" s="172"/>
      <c r="V31" s="172"/>
    </row>
    <row r="32" spans="3:22" ht="12.75">
      <c r="C32" s="1" t="s">
        <v>297</v>
      </c>
      <c r="D32" s="210">
        <f>(D9/L9)-1</f>
        <v>-0.0016666666666667052</v>
      </c>
      <c r="F32" s="521">
        <v>-0.020621729763004026</v>
      </c>
      <c r="G32" s="332"/>
      <c r="H32" s="521">
        <v>0.08785630613041784</v>
      </c>
      <c r="I32" s="332"/>
      <c r="J32" s="210">
        <v>-0.03783592644978784</v>
      </c>
      <c r="K32" s="75"/>
      <c r="L32" s="210">
        <v>0.053001053001052956</v>
      </c>
      <c r="M32" s="75"/>
      <c r="N32" s="210">
        <f>(N9/P9)-1</f>
        <v>-0.011521843494959216</v>
      </c>
      <c r="O32" s="75"/>
      <c r="P32" s="176">
        <v>0.02</v>
      </c>
      <c r="Q32" s="75"/>
      <c r="R32" s="176">
        <v>0.018364518364518467</v>
      </c>
      <c r="S32" s="75"/>
      <c r="T32" s="210"/>
      <c r="U32"/>
      <c r="V32" s="172"/>
    </row>
    <row r="33" spans="3:22" ht="12.75">
      <c r="C33" s="1" t="s">
        <v>298</v>
      </c>
      <c r="D33" s="210">
        <f>(D10/L10)-1</f>
        <v>0.028521126760563398</v>
      </c>
      <c r="F33" s="210">
        <v>0.09110787172011658</v>
      </c>
      <c r="G33" s="332"/>
      <c r="H33" s="210">
        <v>0.055873925501432664</v>
      </c>
      <c r="I33" s="332"/>
      <c r="J33" s="210">
        <v>-0.0036303630363035966</v>
      </c>
      <c r="K33" s="75"/>
      <c r="L33" s="210">
        <v>-0.007340090877315575</v>
      </c>
      <c r="M33" s="75"/>
      <c r="N33" s="210">
        <f>(N10/P10)-1</f>
        <v>0.05927650429799436</v>
      </c>
      <c r="O33" s="75"/>
      <c r="P33" s="176">
        <v>-0.02</v>
      </c>
      <c r="Q33" s="75"/>
      <c r="R33" s="176">
        <v>0.004434782608695675</v>
      </c>
      <c r="S33" s="75"/>
      <c r="T33" s="210"/>
      <c r="U33"/>
      <c r="V33" s="179"/>
    </row>
    <row r="34" spans="7:22" ht="6" customHeight="1">
      <c r="G34" s="332"/>
      <c r="I34" s="332"/>
      <c r="J34" s="210"/>
      <c r="L34" s="210"/>
      <c r="M34" s="335"/>
      <c r="N34" s="42"/>
      <c r="O34" s="335"/>
      <c r="P34" s="42"/>
      <c r="Q34" s="335"/>
      <c r="R34" s="42"/>
      <c r="S34" s="335"/>
      <c r="T34" s="210"/>
      <c r="U34"/>
      <c r="V34" s="179"/>
    </row>
    <row r="35" spans="3:22" ht="12.75">
      <c r="C35" s="14" t="s">
        <v>14</v>
      </c>
      <c r="E35" s="14"/>
      <c r="G35" s="333"/>
      <c r="I35" s="333"/>
      <c r="J35" s="179"/>
      <c r="L35" s="179"/>
      <c r="M35" s="334"/>
      <c r="N35" s="42"/>
      <c r="O35" s="334"/>
      <c r="P35" s="42"/>
      <c r="Q35" s="334"/>
      <c r="R35" s="42"/>
      <c r="S35" s="334"/>
      <c r="T35" s="208"/>
      <c r="U35"/>
      <c r="V35" s="179"/>
    </row>
    <row r="36" spans="3:25" ht="11.25">
      <c r="C36" s="1" t="s">
        <v>53</v>
      </c>
      <c r="D36" s="240">
        <f>+'Consolidated Results'!D9/'Consolidated Results'!D8</f>
        <v>0.658965896589659</v>
      </c>
      <c r="F36" s="240">
        <v>0.7221970040853382</v>
      </c>
      <c r="G36" s="240"/>
      <c r="H36" s="240">
        <v>0.7085452695829094</v>
      </c>
      <c r="I36" s="240"/>
      <c r="J36" s="240">
        <v>0.6435666982024598</v>
      </c>
      <c r="L36" s="240">
        <v>0.6641576267434137</v>
      </c>
      <c r="M36" s="531"/>
      <c r="N36" s="240">
        <f>+'Consolidated Results'!N9/'Consolidated Results'!N8</f>
        <v>0.6900904926823819</v>
      </c>
      <c r="O36" s="531"/>
      <c r="P36" s="240">
        <f>+'Consolidated Results'!P9/'Consolidated Results'!P8</f>
        <v>0.6968885915021746</v>
      </c>
      <c r="Q36" s="531"/>
      <c r="R36" s="531">
        <f>+'Consolidated Results'!R9/'Consolidated Results'!R8</f>
        <v>0.6864015881356922</v>
      </c>
      <c r="S36" s="531"/>
      <c r="T36" s="240"/>
      <c r="U36" s="240"/>
      <c r="V36" s="240"/>
      <c r="W36" s="9"/>
      <c r="Y36" s="9"/>
    </row>
    <row r="37" spans="3:25" ht="11.25">
      <c r="C37" s="1" t="s">
        <v>388</v>
      </c>
      <c r="D37" s="240"/>
      <c r="F37" s="240"/>
      <c r="G37" s="240"/>
      <c r="H37" s="240"/>
      <c r="I37" s="240"/>
      <c r="J37" s="240"/>
      <c r="L37" s="240"/>
      <c r="M37" s="531"/>
      <c r="N37" s="240"/>
      <c r="O37" s="531"/>
      <c r="P37" s="240"/>
      <c r="Q37" s="531"/>
      <c r="R37" s="531"/>
      <c r="S37" s="531"/>
      <c r="T37" s="240"/>
      <c r="U37" s="240"/>
      <c r="V37" s="240"/>
      <c r="W37" s="9"/>
      <c r="Y37" s="9"/>
    </row>
    <row r="38" spans="3:22" ht="11.25">
      <c r="C38" s="76" t="s">
        <v>389</v>
      </c>
      <c r="D38" s="176">
        <f>(+D21-D26)/(D28+(D21-D26))</f>
        <v>0.19515151515151516</v>
      </c>
      <c r="F38" s="176">
        <v>0.1855036855036855</v>
      </c>
      <c r="G38" s="332"/>
      <c r="H38" s="176">
        <v>0.16925064599483206</v>
      </c>
      <c r="I38" s="332"/>
      <c r="J38" s="176">
        <v>0.20584652862362973</v>
      </c>
      <c r="L38" s="176">
        <v>0.18907563025210083</v>
      </c>
      <c r="M38" s="335"/>
      <c r="N38" s="176">
        <f>(+N21-N26)/(N28+(N21-N26))</f>
        <v>0.19035997559487491</v>
      </c>
      <c r="O38" s="335"/>
      <c r="P38" s="176">
        <f>(+P21-P26)/(P28+(P21-P26))</f>
        <v>0.20361990950226244</v>
      </c>
      <c r="Q38" s="335"/>
      <c r="R38" s="176">
        <f>(+R21-R26)/(R28+(R21-R26))</f>
        <v>0.19513865114686751</v>
      </c>
      <c r="S38" s="335"/>
      <c r="T38" s="176"/>
      <c r="U38" s="210"/>
      <c r="V38" s="210"/>
    </row>
    <row r="39" spans="3:22" ht="5.25" customHeight="1">
      <c r="C39" s="76"/>
      <c r="D39" s="176"/>
      <c r="F39" s="176"/>
      <c r="G39" s="332"/>
      <c r="H39" s="176"/>
      <c r="I39" s="332"/>
      <c r="J39" s="176"/>
      <c r="L39" s="176"/>
      <c r="M39" s="335"/>
      <c r="N39" s="176"/>
      <c r="O39" s="335"/>
      <c r="P39" s="176"/>
      <c r="Q39" s="335"/>
      <c r="R39" s="176"/>
      <c r="S39" s="335"/>
      <c r="T39" s="176"/>
      <c r="U39" s="210"/>
      <c r="V39" s="210"/>
    </row>
    <row r="40" spans="3:22" ht="11.25">
      <c r="C40" s="33" t="s">
        <v>317</v>
      </c>
      <c r="D40" s="373"/>
      <c r="E40" s="33"/>
      <c r="F40" s="373"/>
      <c r="G40" s="373"/>
      <c r="H40" s="373"/>
      <c r="I40" s="373"/>
      <c r="J40" s="434"/>
      <c r="K40" s="373"/>
      <c r="L40" s="434"/>
      <c r="M40" s="373"/>
      <c r="N40" s="42"/>
      <c r="O40" s="373"/>
      <c r="P40" s="42"/>
      <c r="Q40" s="373"/>
      <c r="R40" s="42"/>
      <c r="S40" s="373"/>
      <c r="T40" s="179"/>
      <c r="U40" s="179"/>
      <c r="V40" s="179"/>
    </row>
    <row r="41" spans="3:22" ht="11.25">
      <c r="C41" s="42" t="s">
        <v>167</v>
      </c>
      <c r="D41" s="16">
        <f>+'Segment  2007 Qtr'!M54</f>
        <v>0.614</v>
      </c>
      <c r="E41" s="42"/>
      <c r="F41" s="16">
        <v>0.621</v>
      </c>
      <c r="G41" s="17"/>
      <c r="H41" s="16">
        <v>0.618</v>
      </c>
      <c r="I41" s="17"/>
      <c r="J41" s="16">
        <v>0.602</v>
      </c>
      <c r="K41" s="17"/>
      <c r="L41" s="16">
        <v>0.616</v>
      </c>
      <c r="M41" s="17"/>
      <c r="N41" s="16">
        <f>+'Segment  2007 YTD'!Q58</f>
        <v>0.618</v>
      </c>
      <c r="O41" s="17"/>
      <c r="P41" s="16">
        <v>0.614</v>
      </c>
      <c r="Q41" s="17"/>
      <c r="R41" s="16">
        <v>0.612</v>
      </c>
      <c r="S41" s="17"/>
      <c r="T41" s="179"/>
      <c r="U41" s="179"/>
      <c r="V41" s="179"/>
    </row>
    <row r="42" spans="3:22" ht="11.25">
      <c r="C42" s="42" t="s">
        <v>168</v>
      </c>
      <c r="D42" s="16">
        <f>+'Segment  2007 Qtr'!M55</f>
        <v>0.145</v>
      </c>
      <c r="E42" s="42"/>
      <c r="F42" s="16">
        <v>0.135</v>
      </c>
      <c r="G42" s="17"/>
      <c r="H42" s="16">
        <v>0.144</v>
      </c>
      <c r="I42" s="17"/>
      <c r="J42" s="16">
        <v>0.142</v>
      </c>
      <c r="K42" s="17"/>
      <c r="L42" s="16">
        <v>0.149</v>
      </c>
      <c r="M42" s="17"/>
      <c r="N42" s="16">
        <f>+'Segment  2007 YTD'!Q59</f>
        <v>0.14</v>
      </c>
      <c r="O42" s="17"/>
      <c r="P42" s="16">
        <v>0.15</v>
      </c>
      <c r="Q42" s="17"/>
      <c r="R42" s="16">
        <v>0.146</v>
      </c>
      <c r="S42" s="17"/>
      <c r="T42" s="179"/>
      <c r="U42" s="179"/>
      <c r="V42" s="179"/>
    </row>
    <row r="43" spans="3:22" ht="11.25">
      <c r="C43" s="42" t="s">
        <v>169</v>
      </c>
      <c r="D43" s="16">
        <f>+'Segment  2007 Qtr'!M56</f>
        <v>0.117</v>
      </c>
      <c r="E43" s="42"/>
      <c r="F43" s="16">
        <v>0.115</v>
      </c>
      <c r="G43" s="529"/>
      <c r="H43" s="16">
        <v>0.12</v>
      </c>
      <c r="I43" s="529"/>
      <c r="J43" s="16">
        <v>0.114</v>
      </c>
      <c r="K43" s="530"/>
      <c r="L43" s="16">
        <v>0.117</v>
      </c>
      <c r="M43" s="17"/>
      <c r="N43" s="16">
        <f>+'Segment  2007 YTD'!Q60</f>
        <v>0.116</v>
      </c>
      <c r="O43" s="17"/>
      <c r="P43" s="16">
        <v>0.129</v>
      </c>
      <c r="Q43" s="17"/>
      <c r="R43" s="16">
        <v>0.123</v>
      </c>
      <c r="S43" s="17"/>
      <c r="T43" s="179"/>
      <c r="U43" s="179"/>
      <c r="V43" s="179"/>
    </row>
    <row r="44" spans="3:22" ht="12" thickBot="1">
      <c r="C44" s="359" t="s">
        <v>54</v>
      </c>
      <c r="D44" s="182">
        <f>SUM(D41:D43)</f>
        <v>0.876</v>
      </c>
      <c r="E44" s="359"/>
      <c r="F44" s="182">
        <v>0.871</v>
      </c>
      <c r="G44" s="336"/>
      <c r="H44" s="182">
        <f>SUM(H41:H43)</f>
        <v>0.882</v>
      </c>
      <c r="I44" s="336"/>
      <c r="J44" s="182">
        <f>SUM(J41:J43)</f>
        <v>0.858</v>
      </c>
      <c r="K44" s="336"/>
      <c r="L44" s="182">
        <f>SUM(L41:L43)</f>
        <v>0.882</v>
      </c>
      <c r="M44" s="336"/>
      <c r="N44" s="182">
        <f>SUM(N41:N43)</f>
        <v>0.874</v>
      </c>
      <c r="O44" s="336"/>
      <c r="P44" s="182">
        <f>SUM(P41:P43)</f>
        <v>0.893</v>
      </c>
      <c r="Q44" s="336"/>
      <c r="R44" s="182">
        <f>SUM(R41:R43)</f>
        <v>0.881</v>
      </c>
      <c r="S44" s="336"/>
      <c r="T44" s="179"/>
      <c r="U44" s="179"/>
      <c r="V44" s="179"/>
    </row>
    <row r="45" spans="3:22" ht="6.75" customHeight="1" thickTop="1">
      <c r="C45" s="33"/>
      <c r="D45" s="33"/>
      <c r="E45" s="33"/>
      <c r="F45" s="228"/>
      <c r="G45" s="228"/>
      <c r="H45" s="228"/>
      <c r="I45" s="228"/>
      <c r="J45" s="228"/>
      <c r="K45" s="228"/>
      <c r="L45" s="228"/>
      <c r="M45" s="228"/>
      <c r="N45" s="33"/>
      <c r="O45" s="228"/>
      <c r="P45" s="33"/>
      <c r="Q45" s="228"/>
      <c r="R45" s="33"/>
      <c r="S45" s="228"/>
      <c r="T45" s="179"/>
      <c r="U45" s="179"/>
      <c r="V45" s="179"/>
    </row>
    <row r="46" spans="3:22" ht="12.75">
      <c r="C46" s="33" t="s">
        <v>318</v>
      </c>
      <c r="D46" s="14"/>
      <c r="E46" s="14"/>
      <c r="F46" s="385"/>
      <c r="G46" s="411"/>
      <c r="H46" s="385"/>
      <c r="I46" s="411"/>
      <c r="J46" s="385"/>
      <c r="K46" s="411"/>
      <c r="L46" s="385"/>
      <c r="M46" s="337"/>
      <c r="N46" s="42"/>
      <c r="O46" s="337"/>
      <c r="P46" s="42"/>
      <c r="Q46" s="337"/>
      <c r="R46" s="42"/>
      <c r="S46" s="337"/>
      <c r="T46" s="179"/>
      <c r="U46" s="179"/>
      <c r="V46" s="179"/>
    </row>
    <row r="47" spans="3:22" ht="11.25">
      <c r="C47" s="1" t="s">
        <v>296</v>
      </c>
      <c r="D47" s="37">
        <f>+'Insurance-North American '!D35+'Insurance-Overseas General '!D35+'Global Reinsurance '!D35</f>
        <v>81</v>
      </c>
      <c r="F47" s="37">
        <v>34</v>
      </c>
      <c r="G47" s="75"/>
      <c r="H47" s="37">
        <v>6</v>
      </c>
      <c r="I47" s="75"/>
      <c r="J47" s="37">
        <v>6</v>
      </c>
      <c r="K47" s="59"/>
      <c r="L47" s="37">
        <v>2</v>
      </c>
      <c r="M47" s="59"/>
      <c r="N47" s="37">
        <f>+F47+D47</f>
        <v>115</v>
      </c>
      <c r="O47" s="59"/>
      <c r="P47" s="37">
        <v>5</v>
      </c>
      <c r="Q47" s="59"/>
      <c r="R47" s="37">
        <v>17</v>
      </c>
      <c r="S47" s="59"/>
      <c r="T47" s="179"/>
      <c r="U47" s="179"/>
      <c r="V47" s="179"/>
    </row>
    <row r="48" spans="3:22" ht="11.25">
      <c r="C48" s="42" t="s">
        <v>312</v>
      </c>
      <c r="D48" s="37">
        <f>+'Insurance-North American '!D36+'Insurance-Overseas General '!D36+'Global Reinsurance '!D36</f>
        <v>-40</v>
      </c>
      <c r="F48" s="37">
        <v>-18</v>
      </c>
      <c r="G48" s="75"/>
      <c r="H48" s="37">
        <v>17</v>
      </c>
      <c r="I48" s="75"/>
      <c r="J48" s="37">
        <v>17</v>
      </c>
      <c r="K48" s="59"/>
      <c r="L48" s="37">
        <v>-14</v>
      </c>
      <c r="M48" s="59"/>
      <c r="N48" s="37">
        <f>+F48+D48</f>
        <v>-58</v>
      </c>
      <c r="O48" s="59"/>
      <c r="P48" s="37">
        <v>-46</v>
      </c>
      <c r="Q48" s="59"/>
      <c r="R48" s="37">
        <v>-12</v>
      </c>
      <c r="S48" s="59"/>
      <c r="T48" s="179"/>
      <c r="U48" s="179"/>
      <c r="V48" s="179"/>
    </row>
    <row r="49" spans="4:22" ht="6.75" customHeight="1">
      <c r="D49" s="179"/>
      <c r="E49" s="179"/>
      <c r="F49" s="179"/>
      <c r="G49" s="333"/>
      <c r="H49" s="179"/>
      <c r="I49" s="333"/>
      <c r="J49" s="179"/>
      <c r="K49" s="333"/>
      <c r="L49" s="179"/>
      <c r="M49" s="333"/>
      <c r="N49" s="333"/>
      <c r="O49" s="333"/>
      <c r="P49" s="333"/>
      <c r="Q49" s="333"/>
      <c r="R49" s="333"/>
      <c r="S49" s="333"/>
      <c r="T49" s="179"/>
      <c r="U49" s="179"/>
      <c r="V49" s="179"/>
    </row>
    <row r="50" spans="3:22" ht="11.25">
      <c r="C50" s="270" t="s">
        <v>407</v>
      </c>
      <c r="D50" s="179"/>
      <c r="E50" s="179"/>
      <c r="F50" s="179"/>
      <c r="G50" s="333"/>
      <c r="H50" s="179"/>
      <c r="I50" s="333"/>
      <c r="J50" s="179"/>
      <c r="K50" s="333"/>
      <c r="L50" s="179"/>
      <c r="M50" s="333"/>
      <c r="N50" s="333"/>
      <c r="O50" s="333"/>
      <c r="P50" s="333"/>
      <c r="Q50" s="333"/>
      <c r="R50" s="333"/>
      <c r="S50" s="333"/>
      <c r="T50" s="179"/>
      <c r="U50" s="179"/>
      <c r="V50" s="179"/>
    </row>
    <row r="51" spans="3:22" ht="11.25">
      <c r="C51" s="532" t="s">
        <v>443</v>
      </c>
      <c r="D51" s="179"/>
      <c r="E51" s="179"/>
      <c r="F51" s="179"/>
      <c r="G51" s="333"/>
      <c r="H51" s="179"/>
      <c r="I51" s="333"/>
      <c r="J51" s="179"/>
      <c r="K51" s="333"/>
      <c r="L51" s="179"/>
      <c r="M51" s="333"/>
      <c r="N51" s="333"/>
      <c r="O51" s="333"/>
      <c r="P51" s="333"/>
      <c r="Q51" s="333"/>
      <c r="R51" s="333"/>
      <c r="S51" s="333"/>
      <c r="T51" s="179"/>
      <c r="U51" s="179"/>
      <c r="V51" s="179"/>
    </row>
    <row r="52" spans="3:22" ht="11.25">
      <c r="C52" s="270"/>
      <c r="D52" s="179"/>
      <c r="E52" s="179"/>
      <c r="F52" s="179"/>
      <c r="G52" s="333"/>
      <c r="H52" s="179"/>
      <c r="I52" s="333"/>
      <c r="J52" s="179"/>
      <c r="K52" s="333"/>
      <c r="L52" s="179"/>
      <c r="M52" s="333"/>
      <c r="N52" s="333"/>
      <c r="O52" s="333"/>
      <c r="P52" s="333"/>
      <c r="Q52" s="333"/>
      <c r="R52" s="333"/>
      <c r="S52" s="333"/>
      <c r="T52" s="179"/>
      <c r="U52" s="179"/>
      <c r="V52" s="179"/>
    </row>
    <row r="53" spans="3:22" ht="11.25">
      <c r="C53" s="179"/>
      <c r="D53" s="179"/>
      <c r="E53" s="179"/>
      <c r="F53" s="179"/>
      <c r="G53" s="333"/>
      <c r="H53" s="179"/>
      <c r="I53" s="333"/>
      <c r="J53" s="179"/>
      <c r="K53" s="333"/>
      <c r="L53" s="179"/>
      <c r="M53" s="333"/>
      <c r="N53" s="333"/>
      <c r="O53" s="333"/>
      <c r="P53" s="333"/>
      <c r="Q53" s="333"/>
      <c r="R53" s="333"/>
      <c r="S53" s="333"/>
      <c r="T53" s="179"/>
      <c r="U53" s="179"/>
      <c r="V53" s="179"/>
    </row>
    <row r="54" spans="3:22" ht="11.25">
      <c r="C54" s="179"/>
      <c r="D54" s="179"/>
      <c r="E54" s="179"/>
      <c r="F54" s="179"/>
      <c r="G54" s="333"/>
      <c r="H54" s="179"/>
      <c r="I54" s="333"/>
      <c r="J54" s="179"/>
      <c r="K54" s="333"/>
      <c r="L54" s="179"/>
      <c r="M54" s="333"/>
      <c r="N54" s="333"/>
      <c r="O54" s="333"/>
      <c r="P54" s="333"/>
      <c r="Q54" s="333"/>
      <c r="R54" s="333"/>
      <c r="S54" s="333"/>
      <c r="T54" s="179"/>
      <c r="U54" s="179"/>
      <c r="V54" s="179"/>
    </row>
    <row r="55" spans="3:22" ht="11.25">
      <c r="C55" s="179"/>
      <c r="D55" s="179"/>
      <c r="E55" s="179"/>
      <c r="F55" s="179"/>
      <c r="G55" s="333"/>
      <c r="H55" s="179"/>
      <c r="I55" s="333"/>
      <c r="J55" s="179"/>
      <c r="K55" s="333"/>
      <c r="L55" s="179"/>
      <c r="M55" s="333"/>
      <c r="N55" s="333"/>
      <c r="O55" s="333"/>
      <c r="P55" s="333"/>
      <c r="Q55" s="333"/>
      <c r="R55" s="333"/>
      <c r="S55" s="333"/>
      <c r="T55" s="179"/>
      <c r="U55" s="179"/>
      <c r="V55" s="179"/>
    </row>
    <row r="56" spans="3:22" ht="11.25">
      <c r="C56" s="179"/>
      <c r="D56" s="179"/>
      <c r="E56" s="179"/>
      <c r="F56" s="179"/>
      <c r="G56" s="333"/>
      <c r="H56" s="179"/>
      <c r="I56" s="333"/>
      <c r="J56" s="179"/>
      <c r="K56" s="333"/>
      <c r="L56" s="179"/>
      <c r="M56" s="333"/>
      <c r="N56" s="333"/>
      <c r="O56" s="333"/>
      <c r="P56" s="333"/>
      <c r="Q56" s="333"/>
      <c r="R56" s="333"/>
      <c r="S56" s="333"/>
      <c r="T56" s="179"/>
      <c r="U56" s="179"/>
      <c r="V56" s="179"/>
    </row>
    <row r="57" spans="3:22" ht="11.25">
      <c r="C57" s="179"/>
      <c r="D57" s="179"/>
      <c r="E57" s="179"/>
      <c r="F57" s="179"/>
      <c r="G57" s="333"/>
      <c r="H57" s="179"/>
      <c r="I57" s="333"/>
      <c r="J57" s="179"/>
      <c r="K57" s="333"/>
      <c r="L57" s="179"/>
      <c r="M57" s="333"/>
      <c r="N57" s="333"/>
      <c r="O57" s="333"/>
      <c r="P57" s="333"/>
      <c r="Q57" s="333"/>
      <c r="R57" s="333"/>
      <c r="S57" s="333"/>
      <c r="T57" s="179"/>
      <c r="U57" s="179"/>
      <c r="V57" s="179"/>
    </row>
    <row r="58" spans="3:22" ht="11.25">
      <c r="C58" s="179"/>
      <c r="D58" s="179"/>
      <c r="E58" s="179"/>
      <c r="F58" s="179"/>
      <c r="G58" s="333"/>
      <c r="H58" s="179"/>
      <c r="I58" s="333"/>
      <c r="J58" s="179"/>
      <c r="K58" s="333"/>
      <c r="L58" s="179"/>
      <c r="M58" s="333"/>
      <c r="N58" s="333"/>
      <c r="O58" s="333"/>
      <c r="P58" s="333"/>
      <c r="Q58" s="333"/>
      <c r="R58" s="333"/>
      <c r="S58" s="333"/>
      <c r="T58" s="179"/>
      <c r="U58" s="179"/>
      <c r="V58" s="179"/>
    </row>
    <row r="59" spans="3:22" ht="11.25">
      <c r="C59" s="179"/>
      <c r="D59" s="179"/>
      <c r="E59" s="179"/>
      <c r="F59" s="179"/>
      <c r="G59" s="333"/>
      <c r="H59" s="179"/>
      <c r="I59" s="333"/>
      <c r="J59" s="179"/>
      <c r="K59" s="333"/>
      <c r="L59" s="179"/>
      <c r="M59" s="333"/>
      <c r="N59" s="333"/>
      <c r="O59" s="333"/>
      <c r="P59" s="333"/>
      <c r="Q59" s="333"/>
      <c r="R59" s="333"/>
      <c r="S59" s="333"/>
      <c r="T59" s="179"/>
      <c r="U59" s="179"/>
      <c r="V59" s="179"/>
    </row>
    <row r="60" spans="3:22" ht="11.25">
      <c r="C60" s="179"/>
      <c r="D60" s="179"/>
      <c r="E60" s="179"/>
      <c r="F60" s="179"/>
      <c r="G60" s="333"/>
      <c r="H60" s="179"/>
      <c r="I60" s="333"/>
      <c r="J60" s="179"/>
      <c r="K60" s="333"/>
      <c r="L60" s="179"/>
      <c r="M60" s="333"/>
      <c r="N60" s="333"/>
      <c r="O60" s="333"/>
      <c r="P60" s="333"/>
      <c r="Q60" s="333"/>
      <c r="R60" s="333"/>
      <c r="S60" s="333"/>
      <c r="T60" s="179"/>
      <c r="U60" s="179"/>
      <c r="V60" s="179"/>
    </row>
    <row r="61" spans="3:22" ht="11.25">
      <c r="C61" s="179"/>
      <c r="D61" s="179"/>
      <c r="E61" s="179"/>
      <c r="F61" s="179"/>
      <c r="G61" s="333"/>
      <c r="H61" s="179"/>
      <c r="I61" s="333"/>
      <c r="J61" s="179"/>
      <c r="K61" s="333"/>
      <c r="L61" s="179"/>
      <c r="M61" s="333"/>
      <c r="N61" s="333"/>
      <c r="O61" s="333"/>
      <c r="P61" s="333"/>
      <c r="Q61" s="333"/>
      <c r="R61" s="333"/>
      <c r="S61" s="333"/>
      <c r="T61" s="179"/>
      <c r="U61" s="179"/>
      <c r="V61" s="179"/>
    </row>
    <row r="62" spans="3:22" ht="11.25">
      <c r="C62" s="179"/>
      <c r="D62" s="179"/>
      <c r="E62" s="179"/>
      <c r="F62" s="179"/>
      <c r="G62" s="333"/>
      <c r="H62" s="179"/>
      <c r="I62" s="333"/>
      <c r="J62" s="179"/>
      <c r="K62" s="333"/>
      <c r="L62" s="179"/>
      <c r="M62" s="333"/>
      <c r="N62" s="333"/>
      <c r="O62" s="333"/>
      <c r="P62" s="333"/>
      <c r="Q62" s="333"/>
      <c r="R62" s="333"/>
      <c r="S62" s="333"/>
      <c r="T62" s="179"/>
      <c r="U62" s="179"/>
      <c r="V62" s="179"/>
    </row>
    <row r="63" spans="3:22" ht="11.25">
      <c r="C63" s="179"/>
      <c r="D63" s="179"/>
      <c r="E63" s="179"/>
      <c r="F63" s="179"/>
      <c r="G63" s="333"/>
      <c r="H63" s="179"/>
      <c r="I63" s="333"/>
      <c r="J63" s="179"/>
      <c r="K63" s="333"/>
      <c r="L63" s="179"/>
      <c r="M63" s="333"/>
      <c r="N63" s="333"/>
      <c r="O63" s="333"/>
      <c r="P63" s="333"/>
      <c r="Q63" s="333"/>
      <c r="R63" s="333"/>
      <c r="S63" s="333"/>
      <c r="T63" s="179"/>
      <c r="U63" s="179"/>
      <c r="V63" s="179"/>
    </row>
    <row r="64" spans="3:22" ht="11.25">
      <c r="C64" s="179"/>
      <c r="D64" s="179"/>
      <c r="E64" s="179"/>
      <c r="F64" s="179"/>
      <c r="G64" s="333"/>
      <c r="H64" s="179"/>
      <c r="I64" s="333"/>
      <c r="J64" s="179"/>
      <c r="K64" s="333"/>
      <c r="L64" s="179"/>
      <c r="M64" s="333"/>
      <c r="N64" s="333"/>
      <c r="O64" s="333"/>
      <c r="P64" s="333"/>
      <c r="Q64" s="333"/>
      <c r="R64" s="333"/>
      <c r="S64" s="333"/>
      <c r="T64" s="179"/>
      <c r="U64" s="179"/>
      <c r="V64" s="179"/>
    </row>
    <row r="65" spans="3:22" ht="11.25">
      <c r="C65" s="179"/>
      <c r="D65" s="179"/>
      <c r="E65" s="179"/>
      <c r="F65" s="179"/>
      <c r="G65" s="333"/>
      <c r="H65" s="179"/>
      <c r="I65" s="333"/>
      <c r="J65" s="179"/>
      <c r="K65" s="333"/>
      <c r="L65" s="179"/>
      <c r="M65" s="333"/>
      <c r="N65" s="333"/>
      <c r="O65" s="333"/>
      <c r="P65" s="333"/>
      <c r="Q65" s="333"/>
      <c r="R65" s="333"/>
      <c r="S65" s="333"/>
      <c r="T65" s="179"/>
      <c r="U65" s="179"/>
      <c r="V65" s="179"/>
    </row>
    <row r="66" spans="3:22" ht="11.25">
      <c r="C66" s="179"/>
      <c r="D66" s="179"/>
      <c r="E66" s="179"/>
      <c r="F66" s="179"/>
      <c r="G66" s="333"/>
      <c r="H66" s="179"/>
      <c r="I66" s="333"/>
      <c r="J66" s="179"/>
      <c r="K66" s="333"/>
      <c r="L66" s="179"/>
      <c r="M66" s="333"/>
      <c r="N66" s="333"/>
      <c r="O66" s="333"/>
      <c r="P66" s="333"/>
      <c r="Q66" s="333"/>
      <c r="R66" s="333"/>
      <c r="S66" s="333"/>
      <c r="T66" s="179"/>
      <c r="U66" s="179"/>
      <c r="V66" s="179"/>
    </row>
    <row r="67" spans="3:22" ht="11.25">
      <c r="C67" s="179"/>
      <c r="D67" s="179"/>
      <c r="E67" s="179"/>
      <c r="F67" s="179"/>
      <c r="G67" s="333"/>
      <c r="H67" s="179"/>
      <c r="I67" s="333"/>
      <c r="J67" s="179"/>
      <c r="K67" s="333"/>
      <c r="L67" s="179"/>
      <c r="M67" s="333"/>
      <c r="N67" s="333"/>
      <c r="O67" s="333"/>
      <c r="P67" s="333"/>
      <c r="Q67" s="333"/>
      <c r="R67" s="333"/>
      <c r="S67" s="333"/>
      <c r="T67" s="179"/>
      <c r="U67" s="179"/>
      <c r="V67" s="179"/>
    </row>
    <row r="68" spans="3:22" ht="11.25">
      <c r="C68" s="179"/>
      <c r="D68" s="179"/>
      <c r="E68" s="179"/>
      <c r="F68" s="179"/>
      <c r="G68" s="333"/>
      <c r="H68" s="179"/>
      <c r="I68" s="333"/>
      <c r="J68" s="179"/>
      <c r="K68" s="333"/>
      <c r="L68" s="179"/>
      <c r="M68" s="333"/>
      <c r="N68" s="333"/>
      <c r="O68" s="333"/>
      <c r="P68" s="333"/>
      <c r="Q68" s="333"/>
      <c r="R68" s="333"/>
      <c r="S68" s="333"/>
      <c r="T68" s="179"/>
      <c r="U68" s="179"/>
      <c r="V68" s="179"/>
    </row>
    <row r="69" spans="3:22" ht="11.25">
      <c r="C69" s="179"/>
      <c r="D69" s="179"/>
      <c r="E69" s="179"/>
      <c r="F69" s="179"/>
      <c r="G69" s="333"/>
      <c r="H69" s="179"/>
      <c r="I69" s="333"/>
      <c r="J69" s="179"/>
      <c r="K69" s="333"/>
      <c r="L69" s="179"/>
      <c r="M69" s="333"/>
      <c r="N69" s="333"/>
      <c r="O69" s="333"/>
      <c r="P69" s="333"/>
      <c r="Q69" s="333"/>
      <c r="R69" s="333"/>
      <c r="S69" s="333"/>
      <c r="T69" s="179"/>
      <c r="U69" s="179"/>
      <c r="V69" s="179"/>
    </row>
    <row r="70" spans="3:22" ht="11.25">
      <c r="C70" s="179"/>
      <c r="D70" s="179"/>
      <c r="E70" s="179"/>
      <c r="F70" s="179"/>
      <c r="G70" s="333"/>
      <c r="H70" s="179"/>
      <c r="I70" s="333"/>
      <c r="J70" s="179"/>
      <c r="K70" s="333"/>
      <c r="L70" s="179"/>
      <c r="M70" s="333"/>
      <c r="N70" s="333"/>
      <c r="O70" s="333"/>
      <c r="P70" s="333"/>
      <c r="Q70" s="333"/>
      <c r="R70" s="333"/>
      <c r="S70" s="333"/>
      <c r="T70" s="179"/>
      <c r="U70" s="179"/>
      <c r="V70" s="179"/>
    </row>
    <row r="71" spans="3:22" ht="11.25">
      <c r="C71" s="179"/>
      <c r="D71" s="179"/>
      <c r="E71" s="179"/>
      <c r="F71" s="179"/>
      <c r="G71" s="333"/>
      <c r="H71" s="179"/>
      <c r="I71" s="333"/>
      <c r="J71" s="179"/>
      <c r="K71" s="333"/>
      <c r="L71" s="179"/>
      <c r="M71" s="333"/>
      <c r="N71" s="333"/>
      <c r="O71" s="333"/>
      <c r="P71" s="333"/>
      <c r="Q71" s="333"/>
      <c r="R71" s="333"/>
      <c r="S71" s="333"/>
      <c r="T71" s="179"/>
      <c r="U71" s="179"/>
      <c r="V71" s="179"/>
    </row>
    <row r="72" spans="3:22" ht="11.25">
      <c r="C72" s="179"/>
      <c r="D72" s="179"/>
      <c r="E72" s="179"/>
      <c r="F72" s="179"/>
      <c r="G72" s="333"/>
      <c r="H72" s="179"/>
      <c r="I72" s="333"/>
      <c r="J72" s="179"/>
      <c r="K72" s="333"/>
      <c r="L72" s="179"/>
      <c r="M72" s="333"/>
      <c r="N72" s="333"/>
      <c r="O72" s="333"/>
      <c r="P72" s="333"/>
      <c r="Q72" s="333"/>
      <c r="R72" s="333"/>
      <c r="S72" s="333"/>
      <c r="T72" s="179"/>
      <c r="U72" s="179"/>
      <c r="V72" s="179"/>
    </row>
    <row r="73" spans="3:22" ht="11.25">
      <c r="C73" s="179"/>
      <c r="D73" s="179"/>
      <c r="E73" s="179"/>
      <c r="F73" s="179"/>
      <c r="G73" s="333"/>
      <c r="H73" s="179"/>
      <c r="I73" s="333"/>
      <c r="J73" s="179"/>
      <c r="K73" s="333"/>
      <c r="L73" s="179"/>
      <c r="M73" s="333"/>
      <c r="N73" s="333"/>
      <c r="O73" s="333"/>
      <c r="P73" s="333"/>
      <c r="Q73" s="333"/>
      <c r="R73" s="333"/>
      <c r="S73" s="333"/>
      <c r="T73" s="179"/>
      <c r="U73" s="179"/>
      <c r="V73" s="179"/>
    </row>
    <row r="74" spans="3:22" ht="11.25">
      <c r="C74" s="179"/>
      <c r="D74" s="179"/>
      <c r="E74" s="179"/>
      <c r="F74" s="179"/>
      <c r="G74" s="333"/>
      <c r="H74" s="179"/>
      <c r="I74" s="333"/>
      <c r="J74" s="179"/>
      <c r="K74" s="333"/>
      <c r="L74" s="179"/>
      <c r="M74" s="333"/>
      <c r="N74" s="333"/>
      <c r="O74" s="333"/>
      <c r="P74" s="333"/>
      <c r="Q74" s="333"/>
      <c r="R74" s="333"/>
      <c r="S74" s="333"/>
      <c r="T74" s="179"/>
      <c r="U74" s="179"/>
      <c r="V74" s="179"/>
    </row>
    <row r="75" spans="3:22" ht="11.25">
      <c r="C75" s="179"/>
      <c r="D75" s="179"/>
      <c r="E75" s="179"/>
      <c r="F75" s="179"/>
      <c r="G75" s="333"/>
      <c r="H75" s="179"/>
      <c r="I75" s="333"/>
      <c r="J75" s="179"/>
      <c r="K75" s="333"/>
      <c r="L75" s="179"/>
      <c r="M75" s="333"/>
      <c r="N75" s="333"/>
      <c r="O75" s="333"/>
      <c r="P75" s="333"/>
      <c r="Q75" s="333"/>
      <c r="R75" s="333"/>
      <c r="S75" s="333"/>
      <c r="T75" s="179"/>
      <c r="U75" s="179"/>
      <c r="V75" s="179"/>
    </row>
    <row r="76" spans="3:22" ht="11.25">
      <c r="C76" s="179"/>
      <c r="D76" s="179"/>
      <c r="E76" s="179"/>
      <c r="F76" s="179"/>
      <c r="G76" s="333"/>
      <c r="H76" s="179"/>
      <c r="I76" s="333"/>
      <c r="J76" s="179"/>
      <c r="K76" s="333"/>
      <c r="L76" s="179"/>
      <c r="M76" s="333"/>
      <c r="N76" s="333"/>
      <c r="O76" s="333"/>
      <c r="P76" s="333"/>
      <c r="Q76" s="333"/>
      <c r="R76" s="333"/>
      <c r="S76" s="333"/>
      <c r="T76" s="179"/>
      <c r="U76" s="179"/>
      <c r="V76" s="179"/>
    </row>
    <row r="77" spans="3:22" ht="11.25">
      <c r="C77" s="179"/>
      <c r="D77" s="179"/>
      <c r="E77" s="179"/>
      <c r="F77" s="179"/>
      <c r="G77" s="333"/>
      <c r="H77" s="179"/>
      <c r="I77" s="333"/>
      <c r="J77" s="179"/>
      <c r="K77" s="333"/>
      <c r="L77" s="179"/>
      <c r="M77" s="333"/>
      <c r="N77" s="333"/>
      <c r="O77" s="333"/>
      <c r="P77" s="333"/>
      <c r="Q77" s="333"/>
      <c r="R77" s="333"/>
      <c r="S77" s="333"/>
      <c r="T77" s="179"/>
      <c r="U77" s="179"/>
      <c r="V77" s="179"/>
    </row>
    <row r="78" spans="3:22" ht="11.25">
      <c r="C78" s="179"/>
      <c r="D78" s="179"/>
      <c r="E78" s="179"/>
      <c r="F78" s="179"/>
      <c r="G78" s="333"/>
      <c r="H78" s="179"/>
      <c r="I78" s="333"/>
      <c r="J78" s="179"/>
      <c r="K78" s="333"/>
      <c r="L78" s="179"/>
      <c r="M78" s="333"/>
      <c r="N78" s="333"/>
      <c r="O78" s="333"/>
      <c r="P78" s="333"/>
      <c r="Q78" s="333"/>
      <c r="R78" s="333"/>
      <c r="S78" s="333"/>
      <c r="T78" s="179"/>
      <c r="U78" s="179"/>
      <c r="V78" s="179"/>
    </row>
    <row r="79" spans="3:22" ht="11.25">
      <c r="C79" s="179"/>
      <c r="D79" s="179"/>
      <c r="E79" s="179"/>
      <c r="F79" s="179"/>
      <c r="G79" s="333"/>
      <c r="H79" s="179"/>
      <c r="I79" s="333"/>
      <c r="J79" s="179"/>
      <c r="K79" s="333"/>
      <c r="L79" s="179"/>
      <c r="M79" s="333"/>
      <c r="N79" s="333"/>
      <c r="O79" s="333"/>
      <c r="P79" s="333"/>
      <c r="Q79" s="333"/>
      <c r="R79" s="333"/>
      <c r="S79" s="333"/>
      <c r="T79" s="179"/>
      <c r="U79" s="179"/>
      <c r="V79" s="179"/>
    </row>
    <row r="80" spans="3:22" ht="11.25">
      <c r="C80" s="179"/>
      <c r="D80" s="179"/>
      <c r="E80" s="179"/>
      <c r="F80" s="179"/>
      <c r="G80" s="333"/>
      <c r="H80" s="179"/>
      <c r="I80" s="333"/>
      <c r="J80" s="179"/>
      <c r="K80" s="333"/>
      <c r="L80" s="179"/>
      <c r="M80" s="333"/>
      <c r="N80" s="333"/>
      <c r="O80" s="333"/>
      <c r="P80" s="333"/>
      <c r="Q80" s="333"/>
      <c r="R80" s="333"/>
      <c r="S80" s="333"/>
      <c r="T80" s="179"/>
      <c r="U80" s="179"/>
      <c r="V80" s="179"/>
    </row>
    <row r="81" spans="3:22" ht="11.25">
      <c r="C81" s="179"/>
      <c r="D81" s="179"/>
      <c r="E81" s="179"/>
      <c r="F81" s="179"/>
      <c r="G81" s="333"/>
      <c r="H81" s="179"/>
      <c r="I81" s="333"/>
      <c r="J81" s="179"/>
      <c r="K81" s="333"/>
      <c r="L81" s="179"/>
      <c r="M81" s="333"/>
      <c r="N81" s="333"/>
      <c r="O81" s="333"/>
      <c r="P81" s="333"/>
      <c r="Q81" s="333"/>
      <c r="R81" s="333"/>
      <c r="S81" s="333"/>
      <c r="T81" s="179"/>
      <c r="U81" s="179"/>
      <c r="V81" s="179"/>
    </row>
    <row r="82" spans="3:22" ht="11.25">
      <c r="C82" s="179"/>
      <c r="D82" s="179"/>
      <c r="E82" s="179"/>
      <c r="F82" s="179"/>
      <c r="G82" s="333"/>
      <c r="H82" s="179"/>
      <c r="I82" s="333"/>
      <c r="J82" s="179"/>
      <c r="K82" s="333"/>
      <c r="L82" s="179"/>
      <c r="M82" s="333"/>
      <c r="N82" s="333"/>
      <c r="O82" s="333"/>
      <c r="P82" s="333"/>
      <c r="Q82" s="333"/>
      <c r="R82" s="333"/>
      <c r="S82" s="333"/>
      <c r="T82" s="179"/>
      <c r="U82" s="179"/>
      <c r="V82" s="179"/>
    </row>
    <row r="83" spans="3:22" ht="11.25">
      <c r="C83" s="179"/>
      <c r="D83" s="179"/>
      <c r="E83" s="179"/>
      <c r="F83" s="179"/>
      <c r="G83" s="333"/>
      <c r="H83" s="179"/>
      <c r="I83" s="333"/>
      <c r="J83" s="179"/>
      <c r="K83" s="333"/>
      <c r="L83" s="179"/>
      <c r="M83" s="333"/>
      <c r="N83" s="333"/>
      <c r="O83" s="333"/>
      <c r="P83" s="333"/>
      <c r="Q83" s="333"/>
      <c r="R83" s="333"/>
      <c r="S83" s="333"/>
      <c r="T83" s="179"/>
      <c r="U83" s="179"/>
      <c r="V83" s="179"/>
    </row>
    <row r="84" spans="3:22" ht="11.25">
      <c r="C84" s="179"/>
      <c r="D84" s="179"/>
      <c r="E84" s="179"/>
      <c r="F84" s="179"/>
      <c r="G84" s="333"/>
      <c r="H84" s="179"/>
      <c r="I84" s="333"/>
      <c r="J84" s="179"/>
      <c r="K84" s="333"/>
      <c r="L84" s="179"/>
      <c r="M84" s="333"/>
      <c r="N84" s="333"/>
      <c r="O84" s="333"/>
      <c r="P84" s="333"/>
      <c r="Q84" s="333"/>
      <c r="R84" s="333"/>
      <c r="S84" s="333"/>
      <c r="T84" s="179"/>
      <c r="U84" s="179"/>
      <c r="V84" s="179"/>
    </row>
    <row r="85" spans="3:22" ht="11.25">
      <c r="C85" s="179"/>
      <c r="D85" s="179"/>
      <c r="E85" s="179"/>
      <c r="F85" s="179"/>
      <c r="G85" s="333"/>
      <c r="H85" s="179"/>
      <c r="I85" s="333"/>
      <c r="J85" s="179"/>
      <c r="K85" s="333"/>
      <c r="L85" s="179"/>
      <c r="M85" s="333"/>
      <c r="N85" s="333"/>
      <c r="O85" s="333"/>
      <c r="P85" s="333"/>
      <c r="Q85" s="333"/>
      <c r="R85" s="333"/>
      <c r="S85" s="333"/>
      <c r="T85" s="179"/>
      <c r="U85" s="179"/>
      <c r="V85" s="179"/>
    </row>
    <row r="86" spans="3:22" ht="11.25">
      <c r="C86" s="179"/>
      <c r="D86" s="179"/>
      <c r="E86" s="179"/>
      <c r="F86" s="179"/>
      <c r="G86" s="333"/>
      <c r="H86" s="179"/>
      <c r="I86" s="333"/>
      <c r="J86" s="179"/>
      <c r="K86" s="333"/>
      <c r="L86" s="179"/>
      <c r="M86" s="333"/>
      <c r="N86" s="333"/>
      <c r="O86" s="333"/>
      <c r="P86" s="333"/>
      <c r="Q86" s="333"/>
      <c r="R86" s="333"/>
      <c r="S86" s="333"/>
      <c r="T86" s="179"/>
      <c r="U86" s="179"/>
      <c r="V86" s="179"/>
    </row>
    <row r="87" spans="3:22" ht="11.25">
      <c r="C87" s="179"/>
      <c r="D87" s="179"/>
      <c r="E87" s="179"/>
      <c r="F87" s="179"/>
      <c r="G87" s="333"/>
      <c r="H87" s="179"/>
      <c r="I87" s="333"/>
      <c r="J87" s="179"/>
      <c r="K87" s="333"/>
      <c r="L87" s="179"/>
      <c r="M87" s="333"/>
      <c r="N87" s="333"/>
      <c r="O87" s="333"/>
      <c r="P87" s="333"/>
      <c r="Q87" s="333"/>
      <c r="R87" s="333"/>
      <c r="S87" s="333"/>
      <c r="T87" s="179"/>
      <c r="U87" s="179"/>
      <c r="V87" s="179"/>
    </row>
    <row r="88" spans="3:22" ht="11.25">
      <c r="C88" s="179"/>
      <c r="D88" s="179"/>
      <c r="E88" s="179"/>
      <c r="F88" s="179"/>
      <c r="G88" s="333"/>
      <c r="H88" s="179"/>
      <c r="I88" s="333"/>
      <c r="J88" s="179"/>
      <c r="K88" s="333"/>
      <c r="L88" s="179"/>
      <c r="M88" s="333"/>
      <c r="N88" s="333"/>
      <c r="O88" s="333"/>
      <c r="P88" s="333"/>
      <c r="Q88" s="333"/>
      <c r="R88" s="333"/>
      <c r="S88" s="333"/>
      <c r="T88" s="179"/>
      <c r="U88" s="179"/>
      <c r="V88" s="179"/>
    </row>
    <row r="89" spans="3:22" ht="11.25">
      <c r="C89" s="179"/>
      <c r="D89" s="179"/>
      <c r="E89" s="179"/>
      <c r="F89" s="179"/>
      <c r="G89" s="333"/>
      <c r="H89" s="179"/>
      <c r="I89" s="333"/>
      <c r="J89" s="179"/>
      <c r="K89" s="333"/>
      <c r="L89" s="179"/>
      <c r="M89" s="333"/>
      <c r="N89" s="333"/>
      <c r="O89" s="333"/>
      <c r="P89" s="333"/>
      <c r="Q89" s="333"/>
      <c r="R89" s="333"/>
      <c r="S89" s="333"/>
      <c r="T89" s="179"/>
      <c r="U89" s="179"/>
      <c r="V89" s="179"/>
    </row>
    <row r="90" spans="3:22" ht="11.25">
      <c r="C90" s="179"/>
      <c r="D90" s="179"/>
      <c r="E90" s="179"/>
      <c r="F90" s="179"/>
      <c r="G90" s="333"/>
      <c r="H90" s="179"/>
      <c r="I90" s="333"/>
      <c r="J90" s="179"/>
      <c r="K90" s="333"/>
      <c r="L90" s="179"/>
      <c r="M90" s="333"/>
      <c r="N90" s="333"/>
      <c r="O90" s="333"/>
      <c r="P90" s="333"/>
      <c r="Q90" s="333"/>
      <c r="R90" s="333"/>
      <c r="S90" s="333"/>
      <c r="T90" s="179"/>
      <c r="U90" s="179"/>
      <c r="V90" s="179"/>
    </row>
    <row r="91" spans="3:22" ht="11.25">
      <c r="C91" s="179"/>
      <c r="D91" s="179"/>
      <c r="E91" s="179"/>
      <c r="F91" s="179"/>
      <c r="G91" s="333"/>
      <c r="H91" s="179"/>
      <c r="I91" s="333"/>
      <c r="J91" s="179"/>
      <c r="K91" s="333"/>
      <c r="L91" s="179"/>
      <c r="M91" s="333"/>
      <c r="N91" s="333"/>
      <c r="O91" s="333"/>
      <c r="P91" s="333"/>
      <c r="Q91" s="333"/>
      <c r="R91" s="333"/>
      <c r="S91" s="333"/>
      <c r="T91" s="179"/>
      <c r="U91" s="179"/>
      <c r="V91" s="179"/>
    </row>
    <row r="92" spans="3:22" ht="11.25">
      <c r="C92" s="179"/>
      <c r="D92" s="179"/>
      <c r="E92" s="179"/>
      <c r="F92" s="179"/>
      <c r="G92" s="333"/>
      <c r="H92" s="179"/>
      <c r="I92" s="333"/>
      <c r="J92" s="179"/>
      <c r="K92" s="333"/>
      <c r="L92" s="179"/>
      <c r="M92" s="333"/>
      <c r="N92" s="333"/>
      <c r="O92" s="333"/>
      <c r="P92" s="333"/>
      <c r="Q92" s="333"/>
      <c r="R92" s="333"/>
      <c r="S92" s="333"/>
      <c r="T92" s="179"/>
      <c r="U92" s="179"/>
      <c r="V92" s="179"/>
    </row>
    <row r="93" spans="3:22" ht="11.25">
      <c r="C93" s="179"/>
      <c r="D93" s="179"/>
      <c r="E93" s="179"/>
      <c r="F93" s="179"/>
      <c r="G93" s="333"/>
      <c r="H93" s="179"/>
      <c r="I93" s="333"/>
      <c r="J93" s="179"/>
      <c r="K93" s="333"/>
      <c r="L93" s="179"/>
      <c r="M93" s="333"/>
      <c r="N93" s="333"/>
      <c r="O93" s="333"/>
      <c r="P93" s="333"/>
      <c r="Q93" s="333"/>
      <c r="R93" s="333"/>
      <c r="S93" s="333"/>
      <c r="T93" s="179"/>
      <c r="U93" s="179"/>
      <c r="V93" s="179"/>
    </row>
    <row r="94" spans="3:22" ht="11.25">
      <c r="C94" s="179"/>
      <c r="D94" s="179"/>
      <c r="E94" s="179"/>
      <c r="F94" s="179"/>
      <c r="G94" s="333"/>
      <c r="H94" s="179"/>
      <c r="I94" s="333"/>
      <c r="J94" s="179"/>
      <c r="K94" s="333"/>
      <c r="L94" s="179"/>
      <c r="M94" s="333"/>
      <c r="N94" s="333"/>
      <c r="O94" s="333"/>
      <c r="P94" s="333"/>
      <c r="Q94" s="333"/>
      <c r="R94" s="333"/>
      <c r="S94" s="333"/>
      <c r="T94" s="179"/>
      <c r="U94" s="179"/>
      <c r="V94" s="179"/>
    </row>
    <row r="95" spans="3:22" ht="11.25">
      <c r="C95" s="179"/>
      <c r="D95" s="179"/>
      <c r="E95" s="179"/>
      <c r="F95" s="179"/>
      <c r="G95" s="333"/>
      <c r="H95" s="179"/>
      <c r="I95" s="333"/>
      <c r="J95" s="179"/>
      <c r="K95" s="333"/>
      <c r="L95" s="179"/>
      <c r="M95" s="333"/>
      <c r="N95" s="333"/>
      <c r="O95" s="333"/>
      <c r="P95" s="333"/>
      <c r="Q95" s="333"/>
      <c r="R95" s="333"/>
      <c r="S95" s="333"/>
      <c r="T95" s="179"/>
      <c r="U95" s="179"/>
      <c r="V95" s="179"/>
    </row>
    <row r="96" spans="3:22" ht="11.25">
      <c r="C96" s="179"/>
      <c r="D96" s="179"/>
      <c r="E96" s="179"/>
      <c r="F96" s="179"/>
      <c r="G96" s="333"/>
      <c r="H96" s="179"/>
      <c r="I96" s="333"/>
      <c r="J96" s="179"/>
      <c r="K96" s="333"/>
      <c r="L96" s="179"/>
      <c r="M96" s="333"/>
      <c r="N96" s="333"/>
      <c r="O96" s="333"/>
      <c r="P96" s="333"/>
      <c r="Q96" s="333"/>
      <c r="R96" s="333"/>
      <c r="S96" s="333"/>
      <c r="T96" s="179"/>
      <c r="U96" s="179"/>
      <c r="V96" s="179"/>
    </row>
    <row r="97" spans="3:22" ht="11.25">
      <c r="C97" s="179"/>
      <c r="D97" s="179"/>
      <c r="E97" s="179"/>
      <c r="F97" s="179"/>
      <c r="G97" s="333"/>
      <c r="H97" s="179"/>
      <c r="I97" s="333"/>
      <c r="J97" s="179"/>
      <c r="K97" s="333"/>
      <c r="L97" s="179"/>
      <c r="M97" s="333"/>
      <c r="N97" s="333"/>
      <c r="O97" s="333"/>
      <c r="P97" s="333"/>
      <c r="Q97" s="333"/>
      <c r="R97" s="333"/>
      <c r="S97" s="333"/>
      <c r="T97" s="179"/>
      <c r="U97" s="179"/>
      <c r="V97" s="179"/>
    </row>
    <row r="98" spans="3:22" ht="11.25">
      <c r="C98" s="179"/>
      <c r="D98" s="179"/>
      <c r="E98" s="179"/>
      <c r="F98" s="179"/>
      <c r="G98" s="333"/>
      <c r="H98" s="179"/>
      <c r="I98" s="333"/>
      <c r="J98" s="179"/>
      <c r="K98" s="333"/>
      <c r="L98" s="179"/>
      <c r="M98" s="333"/>
      <c r="N98" s="333"/>
      <c r="O98" s="333"/>
      <c r="P98" s="333"/>
      <c r="Q98" s="333"/>
      <c r="R98" s="333"/>
      <c r="S98" s="333"/>
      <c r="T98" s="179"/>
      <c r="U98" s="179"/>
      <c r="V98" s="179"/>
    </row>
    <row r="99" spans="3:22" ht="11.25">
      <c r="C99" s="179"/>
      <c r="D99" s="179"/>
      <c r="E99" s="179"/>
      <c r="F99" s="179"/>
      <c r="G99" s="333"/>
      <c r="H99" s="179"/>
      <c r="I99" s="333"/>
      <c r="J99" s="179"/>
      <c r="K99" s="333"/>
      <c r="L99" s="179"/>
      <c r="M99" s="333"/>
      <c r="N99" s="333"/>
      <c r="O99" s="333"/>
      <c r="P99" s="333"/>
      <c r="Q99" s="333"/>
      <c r="R99" s="333"/>
      <c r="S99" s="333"/>
      <c r="T99" s="179"/>
      <c r="U99" s="179"/>
      <c r="V99" s="179"/>
    </row>
    <row r="100" spans="3:22" ht="11.25">
      <c r="C100" s="179"/>
      <c r="D100" s="179"/>
      <c r="E100" s="179"/>
      <c r="F100" s="179"/>
      <c r="G100" s="333"/>
      <c r="H100" s="179"/>
      <c r="I100" s="333"/>
      <c r="J100" s="179"/>
      <c r="K100" s="333"/>
      <c r="L100" s="179"/>
      <c r="M100" s="333"/>
      <c r="N100" s="333"/>
      <c r="O100" s="333"/>
      <c r="P100" s="333"/>
      <c r="Q100" s="333"/>
      <c r="R100" s="333"/>
      <c r="S100" s="333"/>
      <c r="T100" s="179"/>
      <c r="U100" s="179"/>
      <c r="V100" s="179"/>
    </row>
    <row r="101" spans="3:22" ht="11.25">
      <c r="C101" s="179"/>
      <c r="D101" s="179"/>
      <c r="E101" s="179"/>
      <c r="F101" s="179"/>
      <c r="G101" s="333"/>
      <c r="H101" s="179"/>
      <c r="I101" s="333"/>
      <c r="J101" s="179"/>
      <c r="K101" s="333"/>
      <c r="L101" s="179"/>
      <c r="M101" s="333"/>
      <c r="N101" s="333"/>
      <c r="O101" s="333"/>
      <c r="P101" s="333"/>
      <c r="Q101" s="333"/>
      <c r="R101" s="333"/>
      <c r="S101" s="333"/>
      <c r="T101" s="179"/>
      <c r="U101" s="179"/>
      <c r="V101" s="179"/>
    </row>
    <row r="102" spans="3:22" ht="11.25">
      <c r="C102" s="179"/>
      <c r="D102" s="179"/>
      <c r="E102" s="179"/>
      <c r="F102" s="179"/>
      <c r="G102" s="333"/>
      <c r="H102" s="179"/>
      <c r="I102" s="333"/>
      <c r="J102" s="179"/>
      <c r="K102" s="333"/>
      <c r="L102" s="179"/>
      <c r="M102" s="333"/>
      <c r="N102" s="333"/>
      <c r="O102" s="333"/>
      <c r="P102" s="333"/>
      <c r="Q102" s="333"/>
      <c r="R102" s="333"/>
      <c r="S102" s="333"/>
      <c r="T102" s="179"/>
      <c r="U102" s="179"/>
      <c r="V102" s="179"/>
    </row>
    <row r="103" spans="3:22" ht="11.25">
      <c r="C103" s="179"/>
      <c r="D103" s="179"/>
      <c r="E103" s="179"/>
      <c r="F103" s="179"/>
      <c r="G103" s="333"/>
      <c r="H103" s="179"/>
      <c r="I103" s="333"/>
      <c r="J103" s="179"/>
      <c r="K103" s="333"/>
      <c r="L103" s="179"/>
      <c r="M103" s="333"/>
      <c r="N103" s="333"/>
      <c r="O103" s="333"/>
      <c r="P103" s="333"/>
      <c r="Q103" s="333"/>
      <c r="R103" s="333"/>
      <c r="S103" s="333"/>
      <c r="T103" s="179"/>
      <c r="U103" s="179"/>
      <c r="V103" s="179"/>
    </row>
    <row r="104" spans="3:22" ht="11.25">
      <c r="C104" s="179"/>
      <c r="D104" s="179"/>
      <c r="E104" s="179"/>
      <c r="F104" s="179"/>
      <c r="G104" s="333"/>
      <c r="H104" s="179"/>
      <c r="I104" s="333"/>
      <c r="J104" s="179"/>
      <c r="K104" s="333"/>
      <c r="L104" s="179"/>
      <c r="M104" s="333"/>
      <c r="N104" s="333"/>
      <c r="O104" s="333"/>
      <c r="P104" s="333"/>
      <c r="Q104" s="333"/>
      <c r="R104" s="333"/>
      <c r="S104" s="333"/>
      <c r="T104" s="179"/>
      <c r="U104" s="179"/>
      <c r="V104" s="179"/>
    </row>
    <row r="105" spans="3:22" ht="11.25">
      <c r="C105" s="179"/>
      <c r="D105" s="179"/>
      <c r="E105" s="179"/>
      <c r="F105" s="179"/>
      <c r="G105" s="333"/>
      <c r="H105" s="179"/>
      <c r="I105" s="333"/>
      <c r="J105" s="179"/>
      <c r="K105" s="333"/>
      <c r="L105" s="179"/>
      <c r="M105" s="333"/>
      <c r="N105" s="333"/>
      <c r="O105" s="333"/>
      <c r="P105" s="333"/>
      <c r="Q105" s="333"/>
      <c r="R105" s="333"/>
      <c r="S105" s="333"/>
      <c r="T105" s="179"/>
      <c r="U105" s="179"/>
      <c r="V105" s="179"/>
    </row>
    <row r="106" spans="3:22" ht="11.25">
      <c r="C106" s="179"/>
      <c r="D106" s="179"/>
      <c r="E106" s="179"/>
      <c r="F106" s="179"/>
      <c r="G106" s="333"/>
      <c r="H106" s="179"/>
      <c r="I106" s="333"/>
      <c r="J106" s="179"/>
      <c r="K106" s="333"/>
      <c r="L106" s="179"/>
      <c r="M106" s="333"/>
      <c r="N106" s="333"/>
      <c r="O106" s="333"/>
      <c r="P106" s="333"/>
      <c r="Q106" s="333"/>
      <c r="R106" s="333"/>
      <c r="S106" s="333"/>
      <c r="T106" s="179"/>
      <c r="U106" s="179"/>
      <c r="V106" s="179"/>
    </row>
    <row r="107" spans="3:22" ht="11.25">
      <c r="C107" s="179"/>
      <c r="D107" s="179"/>
      <c r="E107" s="179"/>
      <c r="F107" s="179"/>
      <c r="G107" s="333"/>
      <c r="H107" s="179"/>
      <c r="I107" s="333"/>
      <c r="J107" s="179"/>
      <c r="K107" s="333"/>
      <c r="L107" s="179"/>
      <c r="M107" s="333"/>
      <c r="N107" s="333"/>
      <c r="O107" s="333"/>
      <c r="P107" s="333"/>
      <c r="Q107" s="333"/>
      <c r="R107" s="333"/>
      <c r="S107" s="333"/>
      <c r="T107" s="179"/>
      <c r="U107" s="179"/>
      <c r="V107" s="179"/>
    </row>
    <row r="108" spans="3:22" ht="11.25">
      <c r="C108" s="179"/>
      <c r="D108" s="179"/>
      <c r="E108" s="179"/>
      <c r="F108" s="179"/>
      <c r="G108" s="333"/>
      <c r="H108" s="179"/>
      <c r="I108" s="333"/>
      <c r="J108" s="179"/>
      <c r="K108" s="333"/>
      <c r="L108" s="179"/>
      <c r="M108" s="333"/>
      <c r="N108" s="333"/>
      <c r="O108" s="333"/>
      <c r="P108" s="333"/>
      <c r="Q108" s="333"/>
      <c r="R108" s="333"/>
      <c r="S108" s="333"/>
      <c r="T108" s="179"/>
      <c r="U108" s="179"/>
      <c r="V108" s="179"/>
    </row>
    <row r="109" spans="3:22" ht="11.25">
      <c r="C109" s="179"/>
      <c r="D109" s="179"/>
      <c r="E109" s="179"/>
      <c r="F109" s="179"/>
      <c r="G109" s="333"/>
      <c r="H109" s="179"/>
      <c r="I109" s="333"/>
      <c r="J109" s="179"/>
      <c r="K109" s="333"/>
      <c r="L109" s="179"/>
      <c r="M109" s="333"/>
      <c r="N109" s="333"/>
      <c r="O109" s="333"/>
      <c r="P109" s="333"/>
      <c r="Q109" s="333"/>
      <c r="R109" s="333"/>
      <c r="S109" s="333"/>
      <c r="T109" s="179"/>
      <c r="U109" s="179"/>
      <c r="V109" s="179"/>
    </row>
    <row r="110" spans="3:22" ht="11.25">
      <c r="C110" s="179"/>
      <c r="D110" s="179"/>
      <c r="E110" s="179"/>
      <c r="F110" s="179"/>
      <c r="G110" s="333"/>
      <c r="H110" s="179"/>
      <c r="I110" s="333"/>
      <c r="J110" s="179"/>
      <c r="K110" s="333"/>
      <c r="L110" s="179"/>
      <c r="M110" s="333"/>
      <c r="N110" s="333"/>
      <c r="O110" s="333"/>
      <c r="P110" s="333"/>
      <c r="Q110" s="333"/>
      <c r="R110" s="333"/>
      <c r="S110" s="333"/>
      <c r="T110" s="179"/>
      <c r="U110" s="179"/>
      <c r="V110" s="179"/>
    </row>
    <row r="111" spans="3:22" ht="11.25">
      <c r="C111" s="179"/>
      <c r="D111" s="179"/>
      <c r="E111" s="179"/>
      <c r="F111" s="179"/>
      <c r="G111" s="333"/>
      <c r="H111" s="179"/>
      <c r="I111" s="333"/>
      <c r="J111" s="179"/>
      <c r="K111" s="333"/>
      <c r="L111" s="179"/>
      <c r="M111" s="333"/>
      <c r="N111" s="333"/>
      <c r="O111" s="333"/>
      <c r="P111" s="333"/>
      <c r="Q111" s="333"/>
      <c r="R111" s="333"/>
      <c r="S111" s="333"/>
      <c r="T111" s="179"/>
      <c r="U111" s="179"/>
      <c r="V111" s="179"/>
    </row>
    <row r="112" spans="3:22" ht="11.25">
      <c r="C112" s="179"/>
      <c r="D112" s="179"/>
      <c r="E112" s="179"/>
      <c r="F112" s="179"/>
      <c r="G112" s="333"/>
      <c r="H112" s="179"/>
      <c r="I112" s="333"/>
      <c r="J112" s="179"/>
      <c r="K112" s="333"/>
      <c r="L112" s="179"/>
      <c r="M112" s="333"/>
      <c r="N112" s="333"/>
      <c r="O112" s="333"/>
      <c r="P112" s="333"/>
      <c r="Q112" s="333"/>
      <c r="R112" s="333"/>
      <c r="S112" s="333"/>
      <c r="T112" s="179"/>
      <c r="U112" s="179"/>
      <c r="V112" s="179"/>
    </row>
    <row r="113" spans="3:22" ht="11.25">
      <c r="C113" s="179"/>
      <c r="D113" s="179"/>
      <c r="E113" s="179"/>
      <c r="F113" s="179"/>
      <c r="G113" s="333"/>
      <c r="H113" s="179"/>
      <c r="I113" s="333"/>
      <c r="J113" s="179"/>
      <c r="K113" s="333"/>
      <c r="L113" s="179"/>
      <c r="M113" s="333"/>
      <c r="N113" s="333"/>
      <c r="O113" s="333"/>
      <c r="P113" s="333"/>
      <c r="Q113" s="333"/>
      <c r="R113" s="333"/>
      <c r="S113" s="333"/>
      <c r="T113" s="179"/>
      <c r="U113" s="179"/>
      <c r="V113" s="179"/>
    </row>
    <row r="114" spans="3:22" ht="11.25">
      <c r="C114" s="179"/>
      <c r="D114" s="179"/>
      <c r="E114" s="179"/>
      <c r="F114" s="179"/>
      <c r="G114" s="333"/>
      <c r="H114" s="179"/>
      <c r="I114" s="333"/>
      <c r="J114" s="179"/>
      <c r="K114" s="333"/>
      <c r="L114" s="179"/>
      <c r="M114" s="333"/>
      <c r="N114" s="333"/>
      <c r="O114" s="333"/>
      <c r="P114" s="333"/>
      <c r="Q114" s="333"/>
      <c r="R114" s="333"/>
      <c r="S114" s="333"/>
      <c r="T114" s="179"/>
      <c r="U114" s="179"/>
      <c r="V114" s="179"/>
    </row>
    <row r="115" spans="3:22" ht="11.25">
      <c r="C115" s="179"/>
      <c r="D115" s="179"/>
      <c r="E115" s="179"/>
      <c r="F115" s="179"/>
      <c r="G115" s="333"/>
      <c r="H115" s="179"/>
      <c r="I115" s="333"/>
      <c r="J115" s="179"/>
      <c r="K115" s="333"/>
      <c r="L115" s="179"/>
      <c r="M115" s="333"/>
      <c r="N115" s="333"/>
      <c r="O115" s="333"/>
      <c r="P115" s="333"/>
      <c r="Q115" s="333"/>
      <c r="R115" s="333"/>
      <c r="S115" s="333"/>
      <c r="T115" s="179"/>
      <c r="U115" s="179"/>
      <c r="V115" s="179"/>
    </row>
    <row r="116" spans="3:22" ht="11.25">
      <c r="C116" s="179"/>
      <c r="D116" s="179"/>
      <c r="E116" s="179"/>
      <c r="F116" s="179"/>
      <c r="G116" s="333"/>
      <c r="H116" s="179"/>
      <c r="I116" s="333"/>
      <c r="J116" s="179"/>
      <c r="K116" s="333"/>
      <c r="L116" s="179"/>
      <c r="M116" s="333"/>
      <c r="N116" s="333"/>
      <c r="O116" s="333"/>
      <c r="P116" s="333"/>
      <c r="Q116" s="333"/>
      <c r="R116" s="333"/>
      <c r="S116" s="333"/>
      <c r="T116" s="179"/>
      <c r="U116" s="179"/>
      <c r="V116" s="179"/>
    </row>
  </sheetData>
  <mergeCells count="4">
    <mergeCell ref="C1:S1"/>
    <mergeCell ref="C2:S2"/>
    <mergeCell ref="C3:S3"/>
    <mergeCell ref="C4:S4"/>
  </mergeCells>
  <hyperlinks>
    <hyperlink ref="C51" location="'Reconciliation Non-GAAP'!Print_Area" display="(2) See page 23 Non-GAAP Financial Measures."/>
  </hyperlinks>
  <printOptions/>
  <pageMargins left="0.5" right="0.5" top="0.5" bottom="0.55" header="0.75" footer="0.3"/>
  <pageSetup fitToHeight="1" fitToWidth="1" horizontalDpi="600" verticalDpi="600" orientation="landscape" scale="92" r:id="rId2"/>
  <headerFooter alignWithMargins="0">
    <oddFooter>&amp;L&amp;A&amp;R&amp;"Arial,Regular"&amp;8Page 2</oddFooter>
  </headerFooter>
  <drawing r:id="rId1"/>
</worksheet>
</file>

<file path=xl/worksheets/sheet5.xml><?xml version="1.0" encoding="utf-8"?>
<worksheet xmlns="http://schemas.openxmlformats.org/spreadsheetml/2006/main" xmlns:r="http://schemas.openxmlformats.org/officeDocument/2006/relationships">
  <sheetPr codeName="Sheet23">
    <pageSetUpPr fitToPage="1"/>
  </sheetPr>
  <dimension ref="B1:BU63"/>
  <sheetViews>
    <sheetView workbookViewId="0" topLeftCell="A1">
      <selection activeCell="A1" sqref="A1"/>
    </sheetView>
  </sheetViews>
  <sheetFormatPr defaultColWidth="9.33203125" defaultRowHeight="12.75"/>
  <cols>
    <col min="1" max="2" width="3.33203125" style="68" customWidth="1"/>
    <col min="3" max="3" width="45.66015625" style="68" customWidth="1"/>
    <col min="4" max="4" width="3.83203125" style="68" customWidth="1"/>
    <col min="5" max="5" width="12.83203125" style="68" customWidth="1"/>
    <col min="6" max="6" width="3.66015625" style="68" customWidth="1"/>
    <col min="7" max="7" width="12.83203125" style="68" customWidth="1"/>
    <col min="8" max="8" width="3.83203125" style="68" customWidth="1"/>
    <col min="9" max="9" width="12.83203125" style="68" customWidth="1"/>
    <col min="10" max="11" width="3.83203125" style="68" customWidth="1"/>
    <col min="12" max="12" width="12.83203125" style="68" customWidth="1"/>
    <col min="13" max="14" width="3.83203125" style="68" customWidth="1"/>
    <col min="15" max="15" width="14.83203125" style="68" customWidth="1"/>
    <col min="16" max="16384" width="10.66015625" style="68" customWidth="1"/>
  </cols>
  <sheetData>
    <row r="1" spans="2:22" ht="14.25" customHeight="1">
      <c r="B1" s="345"/>
      <c r="C1" s="627" t="s">
        <v>89</v>
      </c>
      <c r="D1" s="627"/>
      <c r="E1" s="627"/>
      <c r="F1" s="627"/>
      <c r="G1" s="627"/>
      <c r="H1" s="627"/>
      <c r="I1" s="627"/>
      <c r="J1" s="627"/>
      <c r="K1" s="627"/>
      <c r="L1" s="627"/>
      <c r="M1" s="627"/>
      <c r="N1" s="345"/>
      <c r="O1" s="345"/>
      <c r="P1" s="345"/>
      <c r="Q1" s="345"/>
      <c r="R1" s="345"/>
      <c r="S1" s="345"/>
      <c r="T1" s="345"/>
      <c r="U1" s="345"/>
      <c r="V1" s="345"/>
    </row>
    <row r="2" spans="3:15" ht="11.25" customHeight="1">
      <c r="C2" s="629" t="s">
        <v>161</v>
      </c>
      <c r="D2" s="629"/>
      <c r="E2" s="629"/>
      <c r="F2" s="629"/>
      <c r="G2" s="629"/>
      <c r="H2" s="629"/>
      <c r="I2" s="629"/>
      <c r="J2" s="629"/>
      <c r="K2" s="629"/>
      <c r="L2" s="629"/>
      <c r="M2" s="629"/>
      <c r="N2" s="527"/>
      <c r="O2" s="527"/>
    </row>
    <row r="3" spans="3:15" ht="11.25" customHeight="1">
      <c r="C3" s="628" t="s">
        <v>244</v>
      </c>
      <c r="D3" s="628"/>
      <c r="E3" s="628"/>
      <c r="F3" s="628"/>
      <c r="G3" s="628"/>
      <c r="H3" s="628"/>
      <c r="I3" s="628"/>
      <c r="J3" s="628"/>
      <c r="K3" s="628"/>
      <c r="L3" s="628"/>
      <c r="M3" s="628"/>
      <c r="N3" s="526"/>
      <c r="O3" s="526"/>
    </row>
    <row r="4" spans="3:14" ht="7.5" customHeight="1">
      <c r="C4" s="103"/>
      <c r="D4" s="103"/>
      <c r="E4" s="103"/>
      <c r="F4" s="103"/>
      <c r="G4" s="103"/>
      <c r="H4" s="103"/>
      <c r="I4" s="103"/>
      <c r="J4" s="103"/>
      <c r="K4" s="103"/>
      <c r="L4" s="103"/>
      <c r="M4" s="103"/>
      <c r="N4" s="103"/>
    </row>
    <row r="5" spans="3:15" ht="11.25" customHeight="1">
      <c r="C5" s="507"/>
      <c r="D5" s="507"/>
      <c r="E5" s="429">
        <v>39263</v>
      </c>
      <c r="F5" s="355"/>
      <c r="G5" s="429">
        <v>39172</v>
      </c>
      <c r="H5" s="355"/>
      <c r="I5" s="429">
        <v>39082</v>
      </c>
      <c r="J5" s="542"/>
      <c r="K5" s="542"/>
      <c r="L5" s="541"/>
      <c r="M5" s="477"/>
      <c r="N5" s="477"/>
      <c r="O5" s="477"/>
    </row>
    <row r="6" spans="5:15" ht="12.75" customHeight="1">
      <c r="E6" s="164">
        <v>2007</v>
      </c>
      <c r="G6" s="164">
        <v>2007</v>
      </c>
      <c r="I6" s="164">
        <v>2006</v>
      </c>
      <c r="J6" s="81"/>
      <c r="K6" s="81"/>
      <c r="L6" s="164"/>
      <c r="M6" s="164"/>
      <c r="N6" s="477"/>
      <c r="O6" s="164"/>
    </row>
    <row r="7" spans="5:15" ht="12.75" customHeight="1">
      <c r="E7" s="165" t="s">
        <v>163</v>
      </c>
      <c r="G7" s="165" t="s">
        <v>163</v>
      </c>
      <c r="I7" s="165" t="s">
        <v>322</v>
      </c>
      <c r="J7" s="81"/>
      <c r="K7" s="81"/>
      <c r="L7" s="330"/>
      <c r="M7" s="330"/>
      <c r="N7" s="477"/>
      <c r="O7" s="330"/>
    </row>
    <row r="8" spans="3:15" ht="12.75" customHeight="1">
      <c r="C8" s="179" t="s">
        <v>135</v>
      </c>
      <c r="D8" s="179"/>
      <c r="E8" s="330"/>
      <c r="F8" s="179"/>
      <c r="G8" s="330"/>
      <c r="H8" s="179"/>
      <c r="I8" s="330"/>
      <c r="J8" s="333"/>
      <c r="K8" s="333"/>
      <c r="L8" s="330"/>
      <c r="M8" s="330"/>
      <c r="N8" s="477"/>
      <c r="O8" s="122"/>
    </row>
    <row r="9" spans="3:72" ht="12.75" customHeight="1">
      <c r="C9" s="76" t="s">
        <v>73</v>
      </c>
      <c r="D9" s="76"/>
      <c r="E9" s="104">
        <v>30591</v>
      </c>
      <c r="F9" s="76"/>
      <c r="G9" s="104">
        <v>29934</v>
      </c>
      <c r="H9" s="76"/>
      <c r="I9" s="104">
        <v>28540</v>
      </c>
      <c r="J9" s="102"/>
      <c r="K9" s="102"/>
      <c r="L9" s="106"/>
      <c r="M9" s="106"/>
      <c r="N9" s="477"/>
      <c r="O9" s="106"/>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row>
    <row r="10" spans="3:72" ht="12.75" customHeight="1">
      <c r="C10" s="76" t="s">
        <v>266</v>
      </c>
      <c r="D10" s="76"/>
      <c r="E10" s="331">
        <v>3013</v>
      </c>
      <c r="F10" s="76"/>
      <c r="G10" s="331">
        <v>3060</v>
      </c>
      <c r="H10" s="76"/>
      <c r="I10" s="331">
        <v>3047</v>
      </c>
      <c r="J10" s="102"/>
      <c r="K10" s="102"/>
      <c r="L10" s="85"/>
      <c r="M10" s="85"/>
      <c r="N10" s="477"/>
      <c r="O10" s="478"/>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row>
    <row r="11" spans="3:73" ht="12.75" customHeight="1">
      <c r="C11" s="1" t="s">
        <v>74</v>
      </c>
      <c r="D11" s="1"/>
      <c r="E11" s="331">
        <v>1896</v>
      </c>
      <c r="F11" s="1"/>
      <c r="G11" s="331">
        <v>1772</v>
      </c>
      <c r="H11" s="1"/>
      <c r="I11" s="331">
        <v>1713</v>
      </c>
      <c r="J11" s="7"/>
      <c r="K11" s="7"/>
      <c r="L11" s="85"/>
      <c r="M11" s="85"/>
      <c r="N11" s="477"/>
      <c r="O11" s="85"/>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row>
    <row r="12" spans="3:73" ht="12.75" customHeight="1">
      <c r="C12" s="76" t="s">
        <v>324</v>
      </c>
      <c r="D12" s="76"/>
      <c r="E12" s="331">
        <v>2919</v>
      </c>
      <c r="F12" s="76"/>
      <c r="G12" s="331">
        <v>2658</v>
      </c>
      <c r="H12" s="76"/>
      <c r="I12" s="331">
        <v>2456</v>
      </c>
      <c r="J12" s="102"/>
      <c r="K12" s="102"/>
      <c r="L12" s="85"/>
      <c r="M12" s="85"/>
      <c r="N12" s="416"/>
      <c r="O12" s="85"/>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row>
    <row r="13" spans="3:73" ht="12.75" customHeight="1">
      <c r="C13" s="1" t="s">
        <v>199</v>
      </c>
      <c r="D13" s="1"/>
      <c r="E13" s="331">
        <v>934</v>
      </c>
      <c r="F13" s="1"/>
      <c r="G13" s="331">
        <v>896</v>
      </c>
      <c r="H13" s="1"/>
      <c r="I13" s="331">
        <v>845</v>
      </c>
      <c r="J13" s="7"/>
      <c r="K13" s="7"/>
      <c r="L13" s="85"/>
      <c r="M13" s="85"/>
      <c r="N13" s="75"/>
      <c r="O13" s="85"/>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row>
    <row r="14" spans="3:73" ht="12.75" customHeight="1">
      <c r="C14" s="1" t="s">
        <v>245</v>
      </c>
      <c r="D14" s="1"/>
      <c r="E14" s="412">
        <f>SUM(E9:E13)</f>
        <v>39353</v>
      </c>
      <c r="F14" s="1"/>
      <c r="G14" s="412">
        <f>SUM(G9:G13)</f>
        <v>38320</v>
      </c>
      <c r="H14" s="1"/>
      <c r="I14" s="412">
        <f>SUM(I9:I13)</f>
        <v>36601</v>
      </c>
      <c r="J14" s="7"/>
      <c r="K14" s="7"/>
      <c r="L14" s="331"/>
      <c r="M14" s="331"/>
      <c r="N14" s="75"/>
      <c r="O14" s="331"/>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row>
    <row r="15" spans="3:73" ht="4.5" customHeight="1">
      <c r="C15" s="1"/>
      <c r="D15" s="1"/>
      <c r="E15" s="42"/>
      <c r="F15" s="1"/>
      <c r="G15" s="42"/>
      <c r="H15" s="1"/>
      <c r="I15" s="42"/>
      <c r="J15" s="7"/>
      <c r="K15" s="7"/>
      <c r="L15" s="75"/>
      <c r="M15" s="75"/>
      <c r="N15" s="75"/>
      <c r="O15" s="106"/>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row>
    <row r="16" spans="3:73" ht="12.75" customHeight="1">
      <c r="C16" s="1" t="s">
        <v>97</v>
      </c>
      <c r="D16" s="1"/>
      <c r="E16" s="331">
        <v>621</v>
      </c>
      <c r="F16" s="1"/>
      <c r="G16" s="331">
        <v>639</v>
      </c>
      <c r="H16" s="1"/>
      <c r="I16" s="331">
        <v>565</v>
      </c>
      <c r="J16" s="7"/>
      <c r="K16" s="7"/>
      <c r="L16" s="85"/>
      <c r="M16" s="85"/>
      <c r="N16" s="75"/>
      <c r="O16" s="85"/>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row>
    <row r="17" spans="3:73" ht="12.75" customHeight="1">
      <c r="C17" s="1" t="s">
        <v>157</v>
      </c>
      <c r="D17" s="1"/>
      <c r="E17" s="331">
        <v>2811</v>
      </c>
      <c r="F17" s="1"/>
      <c r="G17" s="331">
        <v>2905</v>
      </c>
      <c r="H17" s="1"/>
      <c r="I17" s="331">
        <v>2171</v>
      </c>
      <c r="J17" s="7"/>
      <c r="K17" s="7"/>
      <c r="L17" s="85"/>
      <c r="M17" s="85"/>
      <c r="N17" s="75"/>
      <c r="O17" s="85"/>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3:73" ht="12.75" customHeight="1">
      <c r="C18" s="1" t="s">
        <v>98</v>
      </c>
      <c r="D18" s="1"/>
      <c r="E18" s="331">
        <v>3923</v>
      </c>
      <c r="F18" s="1"/>
      <c r="G18" s="331">
        <v>3689</v>
      </c>
      <c r="H18" s="1"/>
      <c r="I18" s="331">
        <v>3580</v>
      </c>
      <c r="J18" s="7"/>
      <c r="K18" s="7"/>
      <c r="L18" s="85"/>
      <c r="M18" s="85"/>
      <c r="N18" s="75"/>
      <c r="O18" s="85"/>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row>
    <row r="19" spans="3:73" ht="12.75" customHeight="1">
      <c r="C19" s="1" t="s">
        <v>99</v>
      </c>
      <c r="D19" s="1"/>
      <c r="E19" s="331">
        <v>14081</v>
      </c>
      <c r="F19" s="1"/>
      <c r="G19" s="331">
        <v>14374</v>
      </c>
      <c r="H19" s="1"/>
      <c r="I19" s="331">
        <v>14580</v>
      </c>
      <c r="J19" s="7"/>
      <c r="K19" s="7"/>
      <c r="L19" s="85"/>
      <c r="M19" s="85"/>
      <c r="N19" s="75"/>
      <c r="O19" s="85"/>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row>
    <row r="20" spans="3:73" ht="12.75" customHeight="1">
      <c r="C20" s="1" t="s">
        <v>100</v>
      </c>
      <c r="D20" s="1"/>
      <c r="E20" s="331">
        <v>1160</v>
      </c>
      <c r="F20" s="1"/>
      <c r="G20" s="331">
        <v>1133</v>
      </c>
      <c r="H20" s="1"/>
      <c r="I20" s="331">
        <v>1077</v>
      </c>
      <c r="J20" s="7"/>
      <c r="K20" s="7"/>
      <c r="L20" s="85"/>
      <c r="M20" s="85"/>
      <c r="N20" s="75"/>
      <c r="O20" s="85"/>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row>
    <row r="21" spans="3:73" ht="12.75" customHeight="1">
      <c r="C21" s="1" t="s">
        <v>101</v>
      </c>
      <c r="D21" s="1"/>
      <c r="E21" s="331">
        <v>1854</v>
      </c>
      <c r="F21" s="1"/>
      <c r="G21" s="331">
        <v>1621</v>
      </c>
      <c r="H21" s="1"/>
      <c r="I21" s="331">
        <v>1586</v>
      </c>
      <c r="J21" s="7"/>
      <c r="K21" s="7"/>
      <c r="L21" s="85"/>
      <c r="M21" s="85"/>
      <c r="N21" s="75"/>
      <c r="O21" s="85"/>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3:73" ht="12.75" customHeight="1">
      <c r="C22" s="1" t="s">
        <v>102</v>
      </c>
      <c r="D22" s="1"/>
      <c r="E22" s="331">
        <v>2731</v>
      </c>
      <c r="F22" s="1"/>
      <c r="G22" s="331">
        <v>2731</v>
      </c>
      <c r="H22" s="1"/>
      <c r="I22" s="331">
        <v>2731</v>
      </c>
      <c r="J22" s="7"/>
      <c r="K22" s="7"/>
      <c r="L22" s="85"/>
      <c r="M22" s="85"/>
      <c r="N22" s="75"/>
      <c r="O22" s="85"/>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3:73" ht="12.75" customHeight="1">
      <c r="C23" s="1" t="s">
        <v>103</v>
      </c>
      <c r="D23" s="1"/>
      <c r="E23" s="331">
        <v>1163</v>
      </c>
      <c r="F23" s="1"/>
      <c r="G23" s="331">
        <v>1192</v>
      </c>
      <c r="H23" s="1"/>
      <c r="I23" s="331">
        <v>1165</v>
      </c>
      <c r="J23" s="7"/>
      <c r="K23" s="7"/>
      <c r="L23" s="85"/>
      <c r="M23" s="85"/>
      <c r="N23" s="75"/>
      <c r="O23" s="85"/>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row>
    <row r="24" spans="3:73" ht="12.75" customHeight="1">
      <c r="C24" s="1" t="s">
        <v>264</v>
      </c>
      <c r="D24" s="1"/>
      <c r="E24" s="331">
        <v>826</v>
      </c>
      <c r="F24" s="1"/>
      <c r="G24" s="331">
        <v>804</v>
      </c>
      <c r="H24" s="1"/>
      <c r="I24" s="331">
        <v>789</v>
      </c>
      <c r="J24" s="7"/>
      <c r="K24" s="7"/>
      <c r="L24" s="85"/>
      <c r="M24" s="85"/>
      <c r="N24" s="75"/>
      <c r="O24" s="85"/>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row>
    <row r="25" spans="3:73" ht="12.75" customHeight="1">
      <c r="C25" s="1" t="s">
        <v>104</v>
      </c>
      <c r="D25" s="1"/>
      <c r="E25" s="331">
        <v>2497</v>
      </c>
      <c r="F25" s="1"/>
      <c r="G25" s="331">
        <v>2366</v>
      </c>
      <c r="H25" s="1"/>
      <c r="I25" s="331">
        <v>2290</v>
      </c>
      <c r="J25" s="7"/>
      <c r="K25" s="7"/>
      <c r="L25" s="85"/>
      <c r="M25" s="85"/>
      <c r="N25" s="75"/>
      <c r="O25" s="85"/>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row>
    <row r="26" spans="3:73" ht="12.75" customHeight="1" thickBot="1">
      <c r="C26" s="1" t="s">
        <v>173</v>
      </c>
      <c r="D26" s="1"/>
      <c r="E26" s="413">
        <f>SUM(E14:E25)</f>
        <v>71020</v>
      </c>
      <c r="F26" s="1"/>
      <c r="G26" s="413">
        <f>SUM(G14:G25)</f>
        <v>69774</v>
      </c>
      <c r="H26" s="1"/>
      <c r="I26" s="413">
        <f>SUM(I14:I25)</f>
        <v>67135</v>
      </c>
      <c r="J26" s="7"/>
      <c r="K26" s="7"/>
      <c r="L26" s="106"/>
      <c r="M26" s="106"/>
      <c r="N26" s="75"/>
      <c r="O26" s="106"/>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row>
    <row r="27" spans="3:73" ht="4.5" customHeight="1" thickTop="1">
      <c r="C27" s="1"/>
      <c r="D27" s="1"/>
      <c r="E27" s="42"/>
      <c r="F27" s="1"/>
      <c r="G27" s="42"/>
      <c r="H27" s="1"/>
      <c r="I27" s="42"/>
      <c r="J27" s="7"/>
      <c r="K27" s="7"/>
      <c r="L27" s="75"/>
      <c r="M27" s="75"/>
      <c r="N27" s="75"/>
      <c r="O27" s="106"/>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row>
    <row r="28" spans="3:73" ht="12.75" customHeight="1">
      <c r="C28" s="179" t="s">
        <v>136</v>
      </c>
      <c r="D28" s="179"/>
      <c r="E28" s="581"/>
      <c r="F28" s="179"/>
      <c r="G28" s="414"/>
      <c r="H28" s="179"/>
      <c r="I28" s="414"/>
      <c r="J28" s="333"/>
      <c r="K28" s="333"/>
      <c r="L28" s="415"/>
      <c r="M28" s="415"/>
      <c r="N28" s="415"/>
      <c r="O28" s="47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row>
    <row r="29" spans="3:73" ht="12.75" customHeight="1">
      <c r="C29" s="1" t="s">
        <v>105</v>
      </c>
      <c r="D29" s="1"/>
      <c r="E29" s="104">
        <v>36123</v>
      </c>
      <c r="F29" s="1"/>
      <c r="G29" s="104">
        <v>35813</v>
      </c>
      <c r="H29" s="1"/>
      <c r="I29" s="104">
        <v>35517</v>
      </c>
      <c r="J29" s="7"/>
      <c r="K29" s="7"/>
      <c r="L29" s="106"/>
      <c r="M29" s="106"/>
      <c r="N29" s="75"/>
      <c r="O29" s="106"/>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row>
    <row r="30" spans="3:73" ht="12.75" customHeight="1">
      <c r="C30" s="1" t="s">
        <v>106</v>
      </c>
      <c r="D30" s="1"/>
      <c r="E30" s="331">
        <v>7001</v>
      </c>
      <c r="F30" s="1"/>
      <c r="G30" s="331">
        <v>6670</v>
      </c>
      <c r="H30" s="1"/>
      <c r="I30" s="331">
        <v>6437</v>
      </c>
      <c r="J30" s="7"/>
      <c r="K30" s="7"/>
      <c r="L30" s="85"/>
      <c r="M30" s="85"/>
      <c r="N30" s="75"/>
      <c r="O30" s="85"/>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row>
    <row r="31" spans="3:73" ht="12.75" customHeight="1">
      <c r="C31" s="1" t="s">
        <v>107</v>
      </c>
      <c r="D31" s="1"/>
      <c r="E31" s="331">
        <v>521</v>
      </c>
      <c r="F31" s="1"/>
      <c r="G31" s="331">
        <v>521</v>
      </c>
      <c r="H31" s="1"/>
      <c r="I31" s="331">
        <v>518</v>
      </c>
      <c r="J31" s="7"/>
      <c r="K31" s="7"/>
      <c r="L31" s="85"/>
      <c r="M31" s="85"/>
      <c r="N31" s="75"/>
      <c r="O31" s="85"/>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row>
    <row r="32" spans="3:73" ht="12.75" customHeight="1">
      <c r="C32" s="1" t="s">
        <v>108</v>
      </c>
      <c r="D32" s="1"/>
      <c r="E32" s="331">
        <v>2690</v>
      </c>
      <c r="F32" s="1"/>
      <c r="G32" s="331">
        <v>2511</v>
      </c>
      <c r="H32" s="1"/>
      <c r="I32" s="331">
        <v>2449</v>
      </c>
      <c r="J32" s="7"/>
      <c r="K32" s="7"/>
      <c r="L32" s="85"/>
      <c r="M32" s="85"/>
      <c r="N32" s="75"/>
      <c r="O32" s="85"/>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row>
    <row r="33" spans="3:73" ht="12.75" customHeight="1">
      <c r="C33" s="1" t="s">
        <v>218</v>
      </c>
      <c r="D33" s="1"/>
      <c r="E33" s="331">
        <v>363</v>
      </c>
      <c r="F33" s="1"/>
      <c r="G33" s="331">
        <v>327</v>
      </c>
      <c r="H33" s="1"/>
      <c r="I33" s="331">
        <v>335</v>
      </c>
      <c r="J33" s="7"/>
      <c r="K33" s="7"/>
      <c r="L33" s="85"/>
      <c r="M33" s="85"/>
      <c r="N33" s="75"/>
      <c r="O33" s="85"/>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row>
    <row r="34" spans="3:73" ht="12.75" customHeight="1">
      <c r="C34" s="1" t="s">
        <v>265</v>
      </c>
      <c r="D34" s="1"/>
      <c r="E34" s="331">
        <v>2811</v>
      </c>
      <c r="F34" s="1"/>
      <c r="G34" s="331">
        <v>2905</v>
      </c>
      <c r="H34" s="1"/>
      <c r="I34" s="331">
        <v>2171</v>
      </c>
      <c r="J34" s="7"/>
      <c r="K34" s="7"/>
      <c r="L34" s="85"/>
      <c r="M34" s="85"/>
      <c r="N34" s="75"/>
      <c r="O34" s="85"/>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row>
    <row r="35" spans="3:73" ht="12.75" customHeight="1">
      <c r="C35" s="1" t="s">
        <v>323</v>
      </c>
      <c r="D35" s="1"/>
      <c r="E35" s="331">
        <v>2257</v>
      </c>
      <c r="F35" s="1"/>
      <c r="G35" s="331">
        <v>1338</v>
      </c>
      <c r="H35" s="1"/>
      <c r="I35" s="331">
        <v>1286</v>
      </c>
      <c r="J35" s="7"/>
      <c r="K35" s="7"/>
      <c r="L35" s="85"/>
      <c r="M35" s="85"/>
      <c r="N35" s="75"/>
      <c r="O35" s="85"/>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row>
    <row r="36" spans="3:73" ht="12.75" customHeight="1">
      <c r="C36" s="1" t="s">
        <v>109</v>
      </c>
      <c r="D36" s="537"/>
      <c r="E36" s="331">
        <v>1445</v>
      </c>
      <c r="F36" s="1"/>
      <c r="G36" s="331">
        <v>1514</v>
      </c>
      <c r="H36" s="1"/>
      <c r="I36" s="331">
        <v>1541</v>
      </c>
      <c r="J36" s="7"/>
      <c r="K36" s="7"/>
      <c r="L36" s="85"/>
      <c r="M36" s="85"/>
      <c r="N36" s="75"/>
      <c r="O36" s="85"/>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row>
    <row r="37" spans="3:73" ht="12.75" customHeight="1">
      <c r="C37" s="1" t="s">
        <v>357</v>
      </c>
      <c r="D37" s="1"/>
      <c r="E37" s="331">
        <v>168</v>
      </c>
      <c r="F37" s="1"/>
      <c r="G37" s="331">
        <v>265</v>
      </c>
      <c r="H37" s="1"/>
      <c r="I37" s="331">
        <v>156</v>
      </c>
      <c r="J37" s="7"/>
      <c r="K37" s="7"/>
      <c r="L37" s="85"/>
      <c r="M37" s="85"/>
      <c r="N37" s="75"/>
      <c r="O37" s="85"/>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row>
    <row r="38" spans="3:73" ht="12.75" customHeight="1">
      <c r="C38" s="1" t="s">
        <v>110</v>
      </c>
      <c r="D38" s="1"/>
      <c r="E38" s="331">
        <v>85</v>
      </c>
      <c r="F38" s="1"/>
      <c r="G38" s="331">
        <v>581</v>
      </c>
      <c r="H38" s="1"/>
      <c r="I38" s="331">
        <v>578</v>
      </c>
      <c r="J38" s="7"/>
      <c r="K38" s="7"/>
      <c r="L38" s="85"/>
      <c r="M38" s="85"/>
      <c r="N38" s="75"/>
      <c r="O38" s="85"/>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row>
    <row r="39" spans="3:73" ht="12.75" customHeight="1">
      <c r="C39" s="1" t="s">
        <v>111</v>
      </c>
      <c r="D39" s="1"/>
      <c r="E39" s="331">
        <v>2063</v>
      </c>
      <c r="F39" s="1"/>
      <c r="G39" s="331">
        <v>2061</v>
      </c>
      <c r="H39" s="1"/>
      <c r="I39" s="331">
        <v>1560</v>
      </c>
      <c r="J39" s="7"/>
      <c r="K39" s="7"/>
      <c r="L39" s="85"/>
      <c r="M39" s="85"/>
      <c r="N39" s="75"/>
      <c r="O39" s="85"/>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row>
    <row r="40" spans="3:73" ht="12.75" customHeight="1">
      <c r="C40" s="1" t="s">
        <v>112</v>
      </c>
      <c r="D40" s="1"/>
      <c r="E40" s="331">
        <v>309</v>
      </c>
      <c r="F40" s="1"/>
      <c r="G40" s="331">
        <v>309</v>
      </c>
      <c r="H40" s="1"/>
      <c r="I40" s="331">
        <v>309</v>
      </c>
      <c r="J40" s="7"/>
      <c r="K40" s="7"/>
      <c r="L40" s="85"/>
      <c r="M40" s="85"/>
      <c r="N40" s="75"/>
      <c r="O40" s="85"/>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row>
    <row r="41" spans="3:73" ht="12.75" customHeight="1">
      <c r="C41" s="1" t="s">
        <v>113</v>
      </c>
      <c r="D41" s="1"/>
      <c r="E41" s="412">
        <f>SUM(E29:E40)</f>
        <v>55836</v>
      </c>
      <c r="F41" s="1"/>
      <c r="G41" s="412">
        <f>SUM(G29:G40)</f>
        <v>54815</v>
      </c>
      <c r="H41" s="1"/>
      <c r="I41" s="412">
        <f>SUM(I29:I40)</f>
        <v>52857</v>
      </c>
      <c r="J41" s="7"/>
      <c r="K41" s="7"/>
      <c r="L41" s="331"/>
      <c r="M41" s="331"/>
      <c r="N41" s="75"/>
      <c r="O41" s="331"/>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row>
    <row r="42" spans="3:73" ht="4.5" customHeight="1">
      <c r="C42" s="1"/>
      <c r="D42" s="1"/>
      <c r="E42" s="75"/>
      <c r="F42" s="1"/>
      <c r="G42" s="75"/>
      <c r="H42" s="1"/>
      <c r="I42" s="75"/>
      <c r="J42" s="7"/>
      <c r="K42" s="7"/>
      <c r="L42" s="75"/>
      <c r="M42" s="75"/>
      <c r="N42" s="75"/>
      <c r="O42" s="105"/>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row>
    <row r="43" spans="3:73" ht="12.75" customHeight="1">
      <c r="C43" s="179" t="s">
        <v>114</v>
      </c>
      <c r="D43" s="179"/>
      <c r="E43" s="581"/>
      <c r="F43" s="179"/>
      <c r="G43" s="414"/>
      <c r="H43" s="179"/>
      <c r="I43" s="414"/>
      <c r="J43" s="333"/>
      <c r="K43" s="333"/>
      <c r="L43" s="415"/>
      <c r="M43" s="415"/>
      <c r="N43" s="415"/>
      <c r="O43" s="47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row>
    <row r="44" spans="3:73" ht="12.75" customHeight="1">
      <c r="C44" s="76" t="s">
        <v>43</v>
      </c>
      <c r="D44" s="76"/>
      <c r="E44" s="331">
        <f>15184-E45</f>
        <v>14781</v>
      </c>
      <c r="F44" s="76"/>
      <c r="G44" s="331">
        <f>14959-G45</f>
        <v>14181</v>
      </c>
      <c r="H44" s="76"/>
      <c r="I44" s="331">
        <f>14278-I45</f>
        <v>13562</v>
      </c>
      <c r="J44" s="102"/>
      <c r="K44" s="102"/>
      <c r="L44" s="85"/>
      <c r="M44" s="85"/>
      <c r="N44" s="416"/>
      <c r="O44" s="85"/>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row>
    <row r="45" spans="3:15" ht="12.75" customHeight="1">
      <c r="C45" s="1" t="s">
        <v>52</v>
      </c>
      <c r="D45" s="1"/>
      <c r="E45" s="331">
        <v>403</v>
      </c>
      <c r="F45" s="1"/>
      <c r="G45" s="331">
        <v>778</v>
      </c>
      <c r="H45" s="1"/>
      <c r="I45" s="331">
        <v>716</v>
      </c>
      <c r="J45" s="7"/>
      <c r="K45" s="7"/>
      <c r="L45" s="85"/>
      <c r="M45" s="85"/>
      <c r="N45" s="75"/>
      <c r="O45" s="85"/>
    </row>
    <row r="46" spans="3:15" ht="12.75" customHeight="1">
      <c r="C46" s="1" t="s">
        <v>44</v>
      </c>
      <c r="D46" s="1"/>
      <c r="E46" s="417">
        <f>SUM(E44:E45)</f>
        <v>15184</v>
      </c>
      <c r="F46" s="1"/>
      <c r="G46" s="417">
        <f>SUM(G44:G45)</f>
        <v>14959</v>
      </c>
      <c r="H46" s="1"/>
      <c r="I46" s="417">
        <f>SUM(I44:I45)</f>
        <v>14278</v>
      </c>
      <c r="J46" s="7"/>
      <c r="K46" s="7"/>
      <c r="L46" s="331"/>
      <c r="M46" s="331"/>
      <c r="N46" s="75"/>
      <c r="O46" s="331"/>
    </row>
    <row r="47" spans="3:15" ht="12.75" customHeight="1" thickBot="1">
      <c r="C47" s="1" t="s">
        <v>69</v>
      </c>
      <c r="D47" s="1"/>
      <c r="E47" s="413">
        <f>E41+E46</f>
        <v>71020</v>
      </c>
      <c r="F47" s="1"/>
      <c r="G47" s="413">
        <f>G41+G46</f>
        <v>69774</v>
      </c>
      <c r="H47" s="1"/>
      <c r="I47" s="413">
        <f>I41+I46</f>
        <v>67135</v>
      </c>
      <c r="J47" s="7"/>
      <c r="K47" s="7"/>
      <c r="L47" s="106"/>
      <c r="M47" s="106"/>
      <c r="N47" s="75"/>
      <c r="O47" s="106"/>
    </row>
    <row r="48" spans="3:15" ht="4.5" customHeight="1" thickTop="1">
      <c r="C48" s="1"/>
      <c r="D48" s="1"/>
      <c r="E48" s="42"/>
      <c r="F48" s="1"/>
      <c r="G48" s="42"/>
      <c r="H48" s="1"/>
      <c r="I48" s="42"/>
      <c r="J48" s="7"/>
      <c r="K48" s="7"/>
      <c r="L48" s="75"/>
      <c r="M48" s="75"/>
      <c r="N48" s="75"/>
      <c r="O48" s="469"/>
    </row>
    <row r="49" spans="3:15" ht="12.75" customHeight="1">
      <c r="C49" s="222" t="s">
        <v>307</v>
      </c>
      <c r="D49" s="222"/>
      <c r="E49" s="108">
        <f>+'Reconciliation Book Value'!E21</f>
        <v>44.45770404763247</v>
      </c>
      <c r="F49" s="222"/>
      <c r="G49" s="108">
        <f>+'Reconciliation Book Value'!G21</f>
        <v>43.86718039981971</v>
      </c>
      <c r="H49" s="222"/>
      <c r="I49" s="108">
        <f>+'Reconciliation Book Value'!I21</f>
        <v>42.03023488643174</v>
      </c>
      <c r="J49" s="543"/>
      <c r="K49" s="543"/>
      <c r="L49" s="480"/>
      <c r="M49" s="480"/>
      <c r="N49" s="418"/>
      <c r="O49" s="480"/>
    </row>
    <row r="50" spans="3:15" ht="12.75" customHeight="1">
      <c r="C50" s="222" t="s">
        <v>308</v>
      </c>
      <c r="D50" s="222"/>
      <c r="E50" s="108">
        <f>+'Reconciliation Book Value'!E22</f>
        <v>36.15702791759321</v>
      </c>
      <c r="F50" s="222"/>
      <c r="G50" s="108">
        <f>+'Reconciliation Book Value'!G22</f>
        <v>35.54880311389361</v>
      </c>
      <c r="H50" s="222"/>
      <c r="I50" s="108">
        <f>+'Reconciliation Book Value'!I22</f>
        <v>33.664622214261705</v>
      </c>
      <c r="J50" s="543"/>
      <c r="K50" s="543"/>
      <c r="L50" s="480"/>
      <c r="M50" s="480"/>
      <c r="N50" s="418"/>
      <c r="O50" s="480"/>
    </row>
    <row r="51" spans="11:15" ht="6.75" customHeight="1">
      <c r="K51" s="81"/>
      <c r="N51" s="81"/>
      <c r="O51" s="107"/>
    </row>
    <row r="52" spans="3:15" ht="12.75" customHeight="1">
      <c r="C52" s="532" t="str">
        <f>+'Financial Highlights'!C49</f>
        <v>(1) See page 21 Non-GAAP Financial Measures.</v>
      </c>
      <c r="D52" s="532"/>
      <c r="E52" s="463"/>
      <c r="F52" s="353"/>
      <c r="G52" s="353"/>
      <c r="H52" s="353"/>
      <c r="I52" s="353"/>
      <c r="J52" s="353"/>
      <c r="K52" s="81"/>
      <c r="O52" s="106"/>
    </row>
    <row r="53" spans="5:12" ht="12.75" customHeight="1">
      <c r="E53" s="576"/>
      <c r="K53" s="81"/>
      <c r="L53" s="364"/>
    </row>
    <row r="54" ht="12.75" customHeight="1">
      <c r="K54" s="81"/>
    </row>
    <row r="55" ht="12.75" customHeight="1">
      <c r="K55" s="81"/>
    </row>
    <row r="56" ht="12.75" customHeight="1">
      <c r="K56" s="81"/>
    </row>
    <row r="57" ht="12.75" customHeight="1">
      <c r="K57" s="81"/>
    </row>
    <row r="58" ht="12.75" customHeight="1">
      <c r="K58" s="81"/>
    </row>
    <row r="59" ht="12.75" customHeight="1">
      <c r="K59" s="81"/>
    </row>
    <row r="60" ht="12.75" customHeight="1">
      <c r="K60" s="81"/>
    </row>
    <row r="61" ht="12.75" customHeight="1">
      <c r="K61" s="81"/>
    </row>
    <row r="62" ht="12.75" customHeight="1">
      <c r="K62" s="81"/>
    </row>
    <row r="63" ht="12.75" customHeight="1">
      <c r="K63" s="81"/>
    </row>
    <row r="64" ht="12.75" customHeight="1"/>
    <row r="65" ht="12.75" customHeight="1"/>
    <row r="66" ht="12.75" customHeight="1"/>
    <row r="67" ht="12.75" customHeight="1"/>
    <row r="68" ht="12.75" customHeight="1"/>
    <row r="69" ht="12.75" customHeight="1"/>
    <row r="70" ht="12.75" customHeight="1"/>
    <row r="71" ht="12.75" customHeight="1"/>
    <row r="72" ht="12.75" customHeight="1"/>
  </sheetData>
  <mergeCells count="3">
    <mergeCell ref="C1:M1"/>
    <mergeCell ref="C3:M3"/>
    <mergeCell ref="C2:M2"/>
  </mergeCells>
  <conditionalFormatting sqref="E47">
    <cfRule type="cellIs" priority="1" dxfId="0" operator="notEqual" stopIfTrue="1">
      <formula>$E$26</formula>
    </cfRule>
  </conditionalFormatting>
  <conditionalFormatting sqref="E26">
    <cfRule type="cellIs" priority="2" dxfId="0" operator="notEqual" stopIfTrue="1">
      <formula>$E$47</formula>
    </cfRule>
  </conditionalFormatting>
  <hyperlinks>
    <hyperlink ref="C52" location="'Reconciliation Non-GAAP'!Print_Area" display="'Reconciliation Non-GAAP'!Print_Area"/>
  </hyperlinks>
  <printOptions/>
  <pageMargins left="0.5" right="0.5" top="0.5" bottom="0.55" header="0.75" footer="0.3"/>
  <pageSetup fitToHeight="1" fitToWidth="1" horizontalDpi="600" verticalDpi="600" orientation="landscape" scale="86" r:id="rId2"/>
  <headerFooter alignWithMargins="0">
    <oddFooter>&amp;L&amp;A&amp;R&amp;"Arial,Regular"&amp;8Page 3</oddFooter>
  </headerFooter>
  <drawing r:id="rId1"/>
</worksheet>
</file>

<file path=xl/worksheets/sheet6.xml><?xml version="1.0" encoding="utf-8"?>
<worksheet xmlns="http://schemas.openxmlformats.org/spreadsheetml/2006/main" xmlns:r="http://schemas.openxmlformats.org/officeDocument/2006/relationships">
  <sheetPr codeName="Sheet33"/>
  <dimension ref="A1:AJ30"/>
  <sheetViews>
    <sheetView workbookViewId="0" topLeftCell="A1">
      <selection activeCell="A1" sqref="A1:W1"/>
    </sheetView>
  </sheetViews>
  <sheetFormatPr defaultColWidth="9.33203125" defaultRowHeight="12.75"/>
  <cols>
    <col min="1" max="2" width="3.33203125" style="1" customWidth="1"/>
    <col min="3" max="3" width="18.5" style="1" customWidth="1"/>
    <col min="4" max="4" width="3.66015625" style="1" customWidth="1"/>
    <col min="5" max="5" width="8.33203125" style="1" customWidth="1"/>
    <col min="6" max="6" width="2.83203125" style="1" customWidth="1"/>
    <col min="7" max="7" width="8.33203125" style="1" customWidth="1"/>
    <col min="8" max="8" width="2.83203125" style="1" customWidth="1"/>
    <col min="9" max="9" width="8.33203125" style="1" customWidth="1"/>
    <col min="10" max="10" width="2.83203125" style="1" customWidth="1"/>
    <col min="11" max="11" width="8.33203125" style="1" customWidth="1"/>
    <col min="12" max="12" width="2.83203125" style="1" customWidth="1"/>
    <col min="13" max="13" width="8.33203125" style="1" customWidth="1"/>
    <col min="14" max="14" width="2.83203125" style="1" customWidth="1"/>
    <col min="15" max="15" width="8.33203125" style="1" customWidth="1"/>
    <col min="16" max="16" width="2.83203125" style="1" customWidth="1"/>
    <col min="17" max="17" width="8.33203125" style="1" customWidth="1"/>
    <col min="18" max="18" width="2.83203125" style="1" customWidth="1"/>
    <col min="19" max="19" width="8.33203125" style="1" customWidth="1"/>
    <col min="20" max="20" width="2.83203125" style="1" customWidth="1"/>
    <col min="21" max="21" width="8.33203125" style="1" customWidth="1"/>
    <col min="22" max="22" width="2.83203125" style="1" customWidth="1"/>
    <col min="23" max="23" width="8.33203125" style="1" customWidth="1"/>
    <col min="24" max="16384" width="9" style="1" customWidth="1"/>
  </cols>
  <sheetData>
    <row r="1" spans="1:23" ht="12.75">
      <c r="A1" s="622" t="s">
        <v>89</v>
      </c>
      <c r="B1" s="622"/>
      <c r="C1" s="622"/>
      <c r="D1" s="622"/>
      <c r="E1" s="622"/>
      <c r="F1" s="622"/>
      <c r="G1" s="622"/>
      <c r="H1" s="622"/>
      <c r="I1" s="622"/>
      <c r="J1" s="622"/>
      <c r="K1" s="622"/>
      <c r="L1" s="622"/>
      <c r="M1" s="622"/>
      <c r="N1" s="622"/>
      <c r="O1" s="622"/>
      <c r="P1" s="622"/>
      <c r="Q1" s="622"/>
      <c r="R1" s="622"/>
      <c r="S1" s="622"/>
      <c r="T1" s="622"/>
      <c r="U1" s="622"/>
      <c r="V1" s="622"/>
      <c r="W1" s="622"/>
    </row>
    <row r="2" spans="1:23" ht="11.25" customHeight="1">
      <c r="A2" s="623" t="s">
        <v>219</v>
      </c>
      <c r="B2" s="623"/>
      <c r="C2" s="623"/>
      <c r="D2" s="623"/>
      <c r="E2" s="623"/>
      <c r="F2" s="623"/>
      <c r="G2" s="623"/>
      <c r="H2" s="623"/>
      <c r="I2" s="623"/>
      <c r="J2" s="623"/>
      <c r="K2" s="623"/>
      <c r="L2" s="623"/>
      <c r="M2" s="623"/>
      <c r="N2" s="623"/>
      <c r="O2" s="623"/>
      <c r="P2" s="623"/>
      <c r="Q2" s="623"/>
      <c r="R2" s="623"/>
      <c r="S2" s="623"/>
      <c r="T2" s="623"/>
      <c r="U2" s="623"/>
      <c r="V2" s="623"/>
      <c r="W2" s="623"/>
    </row>
    <row r="3" spans="1:23" ht="11.25" customHeight="1">
      <c r="A3" s="626" t="s">
        <v>147</v>
      </c>
      <c r="B3" s="626"/>
      <c r="C3" s="626"/>
      <c r="D3" s="626"/>
      <c r="E3" s="626"/>
      <c r="F3" s="626"/>
      <c r="G3" s="626"/>
      <c r="H3" s="626"/>
      <c r="I3" s="626"/>
      <c r="J3" s="626"/>
      <c r="K3" s="626"/>
      <c r="L3" s="626"/>
      <c r="M3" s="626"/>
      <c r="N3" s="626"/>
      <c r="O3" s="626"/>
      <c r="P3" s="626"/>
      <c r="Q3" s="626"/>
      <c r="R3" s="626"/>
      <c r="S3" s="626"/>
      <c r="T3" s="626"/>
      <c r="U3" s="626"/>
      <c r="V3" s="626"/>
      <c r="W3" s="626"/>
    </row>
    <row r="4" spans="1:23" ht="11.25" customHeight="1">
      <c r="A4" s="626" t="s">
        <v>163</v>
      </c>
      <c r="B4" s="626"/>
      <c r="C4" s="626"/>
      <c r="D4" s="626"/>
      <c r="E4" s="626"/>
      <c r="F4" s="626"/>
      <c r="G4" s="626"/>
      <c r="H4" s="626"/>
      <c r="I4" s="626"/>
      <c r="J4" s="626"/>
      <c r="K4" s="626"/>
      <c r="L4" s="626"/>
      <c r="M4" s="626"/>
      <c r="N4" s="626"/>
      <c r="O4" s="626"/>
      <c r="P4" s="626"/>
      <c r="Q4" s="626"/>
      <c r="R4" s="626"/>
      <c r="S4" s="626"/>
      <c r="T4" s="626"/>
      <c r="U4" s="626"/>
      <c r="V4" s="626"/>
      <c r="W4" s="626"/>
    </row>
    <row r="5" ht="12">
      <c r="C5" s="507"/>
    </row>
    <row r="6" spans="3:21" ht="12.75">
      <c r="C6" s="3" t="s">
        <v>164</v>
      </c>
      <c r="I6" s="249"/>
      <c r="M6" s="3"/>
      <c r="O6"/>
      <c r="P6"/>
      <c r="Q6"/>
      <c r="R6" s="42"/>
      <c r="S6" s="42"/>
      <c r="T6" s="42"/>
      <c r="U6" s="42"/>
    </row>
    <row r="7" spans="3:23" ht="12.75">
      <c r="C7" s="3"/>
      <c r="G7" s="2" t="s">
        <v>211</v>
      </c>
      <c r="K7" s="2" t="s">
        <v>211</v>
      </c>
      <c r="M7" s="2" t="s">
        <v>159</v>
      </c>
      <c r="N7" s="7"/>
      <c r="Q7" s="2" t="s">
        <v>211</v>
      </c>
      <c r="U7" s="2" t="s">
        <v>211</v>
      </c>
      <c r="W7" s="2" t="s">
        <v>159</v>
      </c>
    </row>
    <row r="8" spans="4:23" ht="11.25">
      <c r="D8" s="2"/>
      <c r="E8" s="21"/>
      <c r="F8" s="122"/>
      <c r="G8" s="2" t="s">
        <v>117</v>
      </c>
      <c r="H8" s="122"/>
      <c r="I8" s="21"/>
      <c r="J8" s="122"/>
      <c r="K8" s="2" t="s">
        <v>117</v>
      </c>
      <c r="L8" s="122"/>
      <c r="M8" s="2" t="s">
        <v>424</v>
      </c>
      <c r="N8" s="7"/>
      <c r="O8" s="21" t="s">
        <v>256</v>
      </c>
      <c r="P8" s="122"/>
      <c r="Q8" s="2" t="s">
        <v>117</v>
      </c>
      <c r="R8" s="122"/>
      <c r="S8" s="21" t="s">
        <v>256</v>
      </c>
      <c r="T8" s="122"/>
      <c r="U8" s="2" t="s">
        <v>117</v>
      </c>
      <c r="V8" s="122"/>
      <c r="W8" s="2" t="s">
        <v>426</v>
      </c>
    </row>
    <row r="9" spans="4:23" ht="11.25">
      <c r="D9" s="5"/>
      <c r="E9" s="4" t="s">
        <v>428</v>
      </c>
      <c r="F9" s="29"/>
      <c r="G9" s="4" t="s">
        <v>96</v>
      </c>
      <c r="H9" s="29"/>
      <c r="I9" s="4" t="s">
        <v>352</v>
      </c>
      <c r="J9" s="29"/>
      <c r="K9" s="4" t="s">
        <v>96</v>
      </c>
      <c r="L9" s="29"/>
      <c r="M9" s="499" t="s">
        <v>352</v>
      </c>
      <c r="N9" s="7"/>
      <c r="O9" s="272" t="s">
        <v>381</v>
      </c>
      <c r="P9" s="29"/>
      <c r="Q9" s="4" t="s">
        <v>96</v>
      </c>
      <c r="R9" s="29"/>
      <c r="S9" s="272" t="s">
        <v>321</v>
      </c>
      <c r="T9" s="29"/>
      <c r="U9" s="4" t="s">
        <v>96</v>
      </c>
      <c r="V9" s="29"/>
      <c r="W9" s="499" t="s">
        <v>438</v>
      </c>
    </row>
    <row r="10" spans="3:21" ht="12.75">
      <c r="C10" s="179" t="s">
        <v>125</v>
      </c>
      <c r="D10" s="12"/>
      <c r="E10" s="12"/>
      <c r="F10" s="12"/>
      <c r="G10" s="12"/>
      <c r="H10" s="12"/>
      <c r="I10" s="167"/>
      <c r="J10" s="12"/>
      <c r="K10" s="12"/>
      <c r="L10" s="12"/>
      <c r="M10" s="12"/>
      <c r="N10" s="7"/>
      <c r="O10" s="12"/>
      <c r="P10"/>
      <c r="Q10"/>
      <c r="R10"/>
      <c r="S10" s="167"/>
      <c r="T10"/>
      <c r="U10"/>
    </row>
    <row r="11" spans="3:24" ht="12.75">
      <c r="C11" s="1" t="s">
        <v>15</v>
      </c>
      <c r="D11" s="39"/>
      <c r="E11" s="31">
        <f>+'Segment  2007 Qtr'!M11-E12-E13</f>
        <v>997</v>
      </c>
      <c r="F11" s="39"/>
      <c r="G11" s="242">
        <f>ROUND(+E11/$E$17,2)</f>
        <v>0.32</v>
      </c>
      <c r="H11" s="39"/>
      <c r="I11" s="31">
        <v>1017</v>
      </c>
      <c r="J11" s="39"/>
      <c r="K11" s="242">
        <f>ROUND(+I11/$I$17,2)</f>
        <v>0.33</v>
      </c>
      <c r="L11" s="39"/>
      <c r="M11" s="242">
        <f>ROUND(+E11/I11-1,2)</f>
        <v>-0.02</v>
      </c>
      <c r="N11" s="75"/>
      <c r="O11" s="31">
        <f>E11+1003</f>
        <v>2000</v>
      </c>
      <c r="P11" s="258"/>
      <c r="Q11" s="242">
        <f>ROUND(+O11/$O$17,2)+1%</f>
        <v>0.32</v>
      </c>
      <c r="R11" s="258"/>
      <c r="S11" s="31">
        <v>2051</v>
      </c>
      <c r="T11" s="258"/>
      <c r="U11" s="241">
        <f>ROUND(+S11/$S$17,2)</f>
        <v>0.32</v>
      </c>
      <c r="V11" s="42"/>
      <c r="W11" s="242">
        <f>ROUND(+O11/S11-1,2)</f>
        <v>-0.02</v>
      </c>
      <c r="X11" s="575"/>
    </row>
    <row r="12" spans="3:24" ht="12.75">
      <c r="C12" s="1" t="s">
        <v>232</v>
      </c>
      <c r="D12" s="39"/>
      <c r="E12" s="406">
        <v>1567</v>
      </c>
      <c r="F12" s="39"/>
      <c r="G12" s="242">
        <f>ROUND(+E12/$E$17,2)</f>
        <v>0.51</v>
      </c>
      <c r="H12" s="39"/>
      <c r="I12" s="406">
        <v>1623</v>
      </c>
      <c r="J12" s="39"/>
      <c r="K12" s="242">
        <f>ROUND(+I12/$I$17,2)</f>
        <v>0.53</v>
      </c>
      <c r="L12" s="39"/>
      <c r="M12" s="242">
        <f aca="true" t="shared" si="0" ref="M12:M17">ROUND(+E12/I12-1,2)</f>
        <v>-0.03</v>
      </c>
      <c r="N12" s="75"/>
      <c r="O12" s="406">
        <f>E12+1759</f>
        <v>3326</v>
      </c>
      <c r="P12" s="258"/>
      <c r="Q12" s="242">
        <f>ROUND(+O12/$O$17,2)</f>
        <v>0.52</v>
      </c>
      <c r="R12" s="258"/>
      <c r="S12" s="406">
        <v>3471</v>
      </c>
      <c r="T12" s="258"/>
      <c r="U12" s="241">
        <f>ROUND(+S12/$S$17,2)+1%</f>
        <v>0.55</v>
      </c>
      <c r="V12" s="42"/>
      <c r="W12" s="242">
        <f>ROUND(+O12/S12-1,2)</f>
        <v>-0.04</v>
      </c>
      <c r="X12" s="575"/>
    </row>
    <row r="13" spans="3:24" ht="12.75">
      <c r="C13" s="1" t="s">
        <v>418</v>
      </c>
      <c r="D13" s="39"/>
      <c r="E13" s="406">
        <v>431</v>
      </c>
      <c r="F13" s="39"/>
      <c r="G13" s="242">
        <f>ROUND(+E13/$E$17,2)</f>
        <v>0.14</v>
      </c>
      <c r="H13" s="39"/>
      <c r="I13" s="406">
        <v>360</v>
      </c>
      <c r="J13" s="39"/>
      <c r="K13" s="242">
        <f>ROUND(+I13/$I$17,2)</f>
        <v>0.12</v>
      </c>
      <c r="L13" s="39"/>
      <c r="M13" s="242">
        <f t="shared" si="0"/>
        <v>0.2</v>
      </c>
      <c r="N13" s="75"/>
      <c r="O13" s="406">
        <f>E13+420</f>
        <v>851</v>
      </c>
      <c r="P13" s="258"/>
      <c r="Q13" s="242">
        <f>ROUND(+O13/$O$17,2)</f>
        <v>0.13</v>
      </c>
      <c r="R13" s="258"/>
      <c r="S13" s="406">
        <v>727</v>
      </c>
      <c r="T13" s="258"/>
      <c r="U13" s="574">
        <f>ROUND(+S13/$S$17,2)</f>
        <v>0.11</v>
      </c>
      <c r="V13" s="42"/>
      <c r="W13" s="242">
        <f>ROUND(+O13/S13-1,2)</f>
        <v>0.17</v>
      </c>
      <c r="X13" s="575"/>
    </row>
    <row r="14" spans="3:24" ht="12.75">
      <c r="C14" s="185" t="s">
        <v>226</v>
      </c>
      <c r="D14" s="231"/>
      <c r="E14" s="419">
        <f>SUM(E11:E13)</f>
        <v>2995</v>
      </c>
      <c r="F14" s="231"/>
      <c r="G14" s="246">
        <f>+G11+G12+G13</f>
        <v>0.9700000000000001</v>
      </c>
      <c r="H14" s="231"/>
      <c r="I14" s="420">
        <f>SUM(I11:I13)</f>
        <v>3000</v>
      </c>
      <c r="J14" s="231"/>
      <c r="K14" s="246">
        <f>+K11+K12+K13</f>
        <v>0.9800000000000001</v>
      </c>
      <c r="L14" s="231"/>
      <c r="M14" s="246">
        <f t="shared" si="0"/>
        <v>0</v>
      </c>
      <c r="N14" s="75"/>
      <c r="O14" s="419">
        <f>SUM(O11:O13)</f>
        <v>6177</v>
      </c>
      <c r="P14" s="258"/>
      <c r="Q14" s="246">
        <f>+Q11+Q12+Q13</f>
        <v>0.9700000000000001</v>
      </c>
      <c r="R14" s="258"/>
      <c r="S14" s="419">
        <f>SUM(S11:S13)</f>
        <v>6249</v>
      </c>
      <c r="T14" s="258"/>
      <c r="U14" s="246">
        <f>SUM(U11:U13)</f>
        <v>0.9800000000000001</v>
      </c>
      <c r="V14" s="42"/>
      <c r="W14" s="246">
        <f>ROUND(+O14/S14-1,2)</f>
        <v>-0.01</v>
      </c>
      <c r="X14" s="575"/>
    </row>
    <row r="15" spans="3:24" ht="12.75">
      <c r="C15" s="189"/>
      <c r="D15" s="266"/>
      <c r="E15" s="266"/>
      <c r="F15" s="266"/>
      <c r="G15" s="267"/>
      <c r="H15" s="266"/>
      <c r="I15" s="366"/>
      <c r="J15" s="266"/>
      <c r="K15" s="267"/>
      <c r="L15" s="266"/>
      <c r="M15" s="267"/>
      <c r="N15" s="75"/>
      <c r="O15" s="266"/>
      <c r="P15" s="258"/>
      <c r="Q15" s="267"/>
      <c r="R15" s="258"/>
      <c r="S15" s="266"/>
      <c r="T15" s="258"/>
      <c r="U15" s="450"/>
      <c r="V15" s="42"/>
      <c r="W15" s="267"/>
      <c r="X15" s="575"/>
    </row>
    <row r="16" spans="3:24" ht="11.25" customHeight="1">
      <c r="C16" s="1" t="s">
        <v>120</v>
      </c>
      <c r="D16" s="85"/>
      <c r="E16" s="406">
        <f>+'Segment  2007 Qtr'!O11</f>
        <v>87</v>
      </c>
      <c r="F16" s="85"/>
      <c r="G16" s="242">
        <f>ROUND(+E16/$E$17,2)</f>
        <v>0.03</v>
      </c>
      <c r="H16" s="85"/>
      <c r="I16" s="406">
        <v>66</v>
      </c>
      <c r="J16" s="85"/>
      <c r="K16" s="242">
        <f>ROUND(+I16/$I$17,2)</f>
        <v>0.02</v>
      </c>
      <c r="L16" s="85"/>
      <c r="M16" s="242">
        <f t="shared" si="0"/>
        <v>0.32</v>
      </c>
      <c r="N16" s="75"/>
      <c r="O16" s="406">
        <f>E16+88</f>
        <v>175</v>
      </c>
      <c r="P16" s="258"/>
      <c r="Q16" s="242">
        <f>ROUND(+O16/$O$17,2)</f>
        <v>0.03</v>
      </c>
      <c r="R16" s="258"/>
      <c r="S16" s="406">
        <v>127</v>
      </c>
      <c r="T16" s="258"/>
      <c r="U16" s="574">
        <f>ROUND(+S16/$S$17,2)</f>
        <v>0.02</v>
      </c>
      <c r="V16" s="42"/>
      <c r="W16" s="242">
        <f>ROUND(+O16/S16-1,2)</f>
        <v>0.38</v>
      </c>
      <c r="X16" s="575"/>
    </row>
    <row r="17" spans="3:24" ht="13.5" thickBot="1">
      <c r="C17" s="185" t="s">
        <v>227</v>
      </c>
      <c r="D17" s="231"/>
      <c r="E17" s="407">
        <f>+E14+E16</f>
        <v>3082</v>
      </c>
      <c r="F17" s="231"/>
      <c r="G17" s="279">
        <f>+G14+G16</f>
        <v>1</v>
      </c>
      <c r="H17" s="231"/>
      <c r="I17" s="407">
        <f>+I14+I16</f>
        <v>3066</v>
      </c>
      <c r="J17" s="231"/>
      <c r="K17" s="279">
        <f>+K14+K16</f>
        <v>1</v>
      </c>
      <c r="L17" s="231"/>
      <c r="M17" s="279">
        <f t="shared" si="0"/>
        <v>0.01</v>
      </c>
      <c r="N17" s="75"/>
      <c r="O17" s="407">
        <f>+O14+O16</f>
        <v>6352</v>
      </c>
      <c r="P17" s="231"/>
      <c r="Q17" s="279">
        <f>+Q14+Q16</f>
        <v>1</v>
      </c>
      <c r="R17" s="258"/>
      <c r="S17" s="407">
        <f>+S14+S16</f>
        <v>6376</v>
      </c>
      <c r="T17" s="231"/>
      <c r="U17" s="279">
        <f>+U14+U16</f>
        <v>1</v>
      </c>
      <c r="V17" s="42"/>
      <c r="W17" s="279">
        <f>ROUND(+O17/S17-1,2)</f>
        <v>0</v>
      </c>
      <c r="X17" s="575"/>
    </row>
    <row r="18" spans="4:24" ht="13.5" thickTop="1">
      <c r="D18" s="40"/>
      <c r="E18" s="40"/>
      <c r="F18" s="85"/>
      <c r="G18" s="85"/>
      <c r="H18" s="85"/>
      <c r="I18" s="40"/>
      <c r="J18" s="85"/>
      <c r="K18" s="85"/>
      <c r="L18" s="85"/>
      <c r="M18" s="40"/>
      <c r="N18" s="75"/>
      <c r="O18" s="40"/>
      <c r="P18" s="258"/>
      <c r="Q18" s="85"/>
      <c r="R18" s="258"/>
      <c r="S18" s="40"/>
      <c r="T18" s="258"/>
      <c r="U18" s="42"/>
      <c r="V18" s="42"/>
      <c r="W18" s="40"/>
      <c r="X18" s="575"/>
    </row>
    <row r="19" spans="4:24" ht="12.75">
      <c r="D19" s="40"/>
      <c r="E19" s="40"/>
      <c r="F19" s="40"/>
      <c r="G19" s="40"/>
      <c r="H19" s="40"/>
      <c r="I19" s="40"/>
      <c r="J19" s="40"/>
      <c r="K19" s="40"/>
      <c r="L19" s="40"/>
      <c r="M19" s="40"/>
      <c r="N19" s="75"/>
      <c r="O19" s="40"/>
      <c r="P19" s="258"/>
      <c r="Q19" s="40"/>
      <c r="R19" s="258"/>
      <c r="S19" s="40"/>
      <c r="T19" s="258"/>
      <c r="U19" s="42"/>
      <c r="V19" s="42"/>
      <c r="W19" s="40"/>
      <c r="X19" s="575"/>
    </row>
    <row r="20" spans="3:24" ht="12.75">
      <c r="C20" s="179" t="s">
        <v>126</v>
      </c>
      <c r="D20" s="85"/>
      <c r="E20" s="85"/>
      <c r="F20" s="85"/>
      <c r="G20" s="42"/>
      <c r="H20" s="85"/>
      <c r="I20" s="85"/>
      <c r="J20" s="85"/>
      <c r="K20" s="42"/>
      <c r="L20" s="85"/>
      <c r="M20" s="85"/>
      <c r="N20" s="85"/>
      <c r="O20" s="85"/>
      <c r="P20" s="258"/>
      <c r="Q20" s="42"/>
      <c r="R20" s="258"/>
      <c r="S20" s="85"/>
      <c r="T20" s="258"/>
      <c r="U20" s="42"/>
      <c r="V20" s="42"/>
      <c r="W20" s="85"/>
      <c r="X20" s="575"/>
    </row>
    <row r="21" spans="3:36" ht="12.75">
      <c r="C21" s="1" t="s">
        <v>15</v>
      </c>
      <c r="D21" s="39"/>
      <c r="E21" s="37">
        <f>+'Segment  2007 Qtr'!M12-E22-E23</f>
        <v>917</v>
      </c>
      <c r="F21" s="59"/>
      <c r="G21" s="242">
        <f>ROUND(+E21/$E$27,2)</f>
        <v>0.3</v>
      </c>
      <c r="H21" s="59"/>
      <c r="I21" s="37">
        <v>864</v>
      </c>
      <c r="J21" s="59"/>
      <c r="K21" s="242">
        <f>ROUND(+I21/$I$27,2)</f>
        <v>0.3</v>
      </c>
      <c r="L21" s="59"/>
      <c r="M21" s="242">
        <f>ROUND(+E21/I21-1,2)</f>
        <v>0.06</v>
      </c>
      <c r="N21" s="75"/>
      <c r="O21" s="37">
        <f>E21+853</f>
        <v>1770</v>
      </c>
      <c r="P21" s="258"/>
      <c r="Q21" s="242">
        <f>ROUND(+O21/$O$27,2)</f>
        <v>0.29</v>
      </c>
      <c r="R21" s="258"/>
      <c r="S21" s="37">
        <v>1681</v>
      </c>
      <c r="T21" s="258"/>
      <c r="U21" s="242">
        <f>ROUND(+S21/$S$27,2)+1%</f>
        <v>0.3</v>
      </c>
      <c r="V21" s="42"/>
      <c r="W21" s="242">
        <f>ROUND(+O21/S21-1,2)</f>
        <v>0.05</v>
      </c>
      <c r="X21" s="575"/>
      <c r="Y21" s="342"/>
      <c r="Z21" s="342"/>
      <c r="AA21" s="342"/>
      <c r="AB21" s="342"/>
      <c r="AC21" s="342"/>
      <c r="AD21" s="342"/>
      <c r="AE21" s="342"/>
      <c r="AF21" s="342"/>
      <c r="AG21" s="342"/>
      <c r="AH21" s="342"/>
      <c r="AI21" s="342"/>
      <c r="AJ21" s="342"/>
    </row>
    <row r="22" spans="3:36" ht="12.75">
      <c r="C22" s="1" t="s">
        <v>232</v>
      </c>
      <c r="D22" s="39"/>
      <c r="E22" s="406">
        <v>1584</v>
      </c>
      <c r="F22" s="39"/>
      <c r="G22" s="242">
        <f>ROUND(+E22/$E$27,2)</f>
        <v>0.53</v>
      </c>
      <c r="H22" s="39"/>
      <c r="I22" s="406">
        <v>1619</v>
      </c>
      <c r="J22" s="39"/>
      <c r="K22" s="242">
        <f>ROUND(+I22/$I$27,2)</f>
        <v>0.56</v>
      </c>
      <c r="L22" s="39"/>
      <c r="M22" s="242">
        <f aca="true" t="shared" si="1" ref="M22:M27">ROUND(+E22/I22-1,2)</f>
        <v>-0.02</v>
      </c>
      <c r="N22" s="75"/>
      <c r="O22" s="406">
        <f>E22+1747</f>
        <v>3331</v>
      </c>
      <c r="P22" s="258"/>
      <c r="Q22" s="242">
        <f>ROUND(+O22/$O$27,2)</f>
        <v>0.55</v>
      </c>
      <c r="R22" s="258"/>
      <c r="S22" s="406">
        <v>3210</v>
      </c>
      <c r="T22" s="258"/>
      <c r="U22" s="242">
        <f>ROUND(+S22/$S$27,2)</f>
        <v>0.56</v>
      </c>
      <c r="V22" s="42"/>
      <c r="W22" s="242">
        <f>ROUND(+O22/S22-1,2)</f>
        <v>0.04</v>
      </c>
      <c r="X22" s="575"/>
      <c r="Y22" s="342"/>
      <c r="Z22" s="342"/>
      <c r="AA22" s="342"/>
      <c r="AB22" s="342"/>
      <c r="AC22" s="342"/>
      <c r="AD22" s="342"/>
      <c r="AE22" s="342"/>
      <c r="AF22" s="342"/>
      <c r="AG22" s="342"/>
      <c r="AH22" s="342"/>
      <c r="AI22" s="342"/>
      <c r="AJ22" s="342"/>
    </row>
    <row r="23" spans="3:36" ht="12.75">
      <c r="C23" s="1" t="s">
        <v>418</v>
      </c>
      <c r="D23" s="39"/>
      <c r="E23" s="406">
        <v>420</v>
      </c>
      <c r="F23" s="39"/>
      <c r="G23" s="242">
        <f>ROUND(+E23/$E$27,2)</f>
        <v>0.14</v>
      </c>
      <c r="H23" s="39"/>
      <c r="I23" s="406">
        <v>357</v>
      </c>
      <c r="J23" s="39"/>
      <c r="K23" s="242">
        <f>ROUND(+I23/$I$27,2)</f>
        <v>0.12</v>
      </c>
      <c r="L23" s="39"/>
      <c r="M23" s="242">
        <f t="shared" si="1"/>
        <v>0.18</v>
      </c>
      <c r="N23" s="75"/>
      <c r="O23" s="406">
        <f>E23+394</f>
        <v>814</v>
      </c>
      <c r="P23" s="258"/>
      <c r="Q23" s="242">
        <f>ROUND(+O23/$O$27,2)</f>
        <v>0.13</v>
      </c>
      <c r="R23" s="258"/>
      <c r="S23" s="406">
        <v>693</v>
      </c>
      <c r="T23" s="258"/>
      <c r="U23" s="242">
        <f>ROUND(+S23/$S$27,2)</f>
        <v>0.12</v>
      </c>
      <c r="V23" s="42"/>
      <c r="W23" s="242">
        <f>ROUND(+O23/S23-1,2)</f>
        <v>0.17</v>
      </c>
      <c r="X23" s="575"/>
      <c r="Y23" s="342"/>
      <c r="Z23" s="342"/>
      <c r="AA23" s="342"/>
      <c r="AB23" s="342"/>
      <c r="AC23" s="342"/>
      <c r="AD23" s="342"/>
      <c r="AE23" s="342"/>
      <c r="AF23" s="342"/>
      <c r="AG23" s="342"/>
      <c r="AH23" s="342"/>
      <c r="AI23" s="342"/>
      <c r="AJ23" s="342"/>
    </row>
    <row r="24" spans="3:36" ht="12.75">
      <c r="C24" s="185" t="s">
        <v>226</v>
      </c>
      <c r="D24" s="231"/>
      <c r="E24" s="419">
        <f>SUM(E21:E23)</f>
        <v>2921</v>
      </c>
      <c r="F24" s="231"/>
      <c r="G24" s="246">
        <f>+G21+G22+G23</f>
        <v>0.9700000000000001</v>
      </c>
      <c r="H24" s="231"/>
      <c r="I24" s="420">
        <f>SUM(I21:I23)</f>
        <v>2840</v>
      </c>
      <c r="J24" s="231"/>
      <c r="K24" s="246">
        <f>+K21+K22+K23</f>
        <v>0.9800000000000001</v>
      </c>
      <c r="L24" s="231"/>
      <c r="M24" s="246">
        <f t="shared" si="1"/>
        <v>0.03</v>
      </c>
      <c r="N24" s="75"/>
      <c r="O24" s="419">
        <f>SUM(O21:O23)</f>
        <v>5915</v>
      </c>
      <c r="P24" s="258"/>
      <c r="Q24" s="246">
        <f>+Q21+Q22+Q23</f>
        <v>0.9700000000000001</v>
      </c>
      <c r="R24" s="258"/>
      <c r="S24" s="419">
        <f>SUM(S21:S23)</f>
        <v>5584</v>
      </c>
      <c r="T24" s="258"/>
      <c r="U24" s="246">
        <f>+U21+U22+U23</f>
        <v>0.9800000000000001</v>
      </c>
      <c r="V24" s="42"/>
      <c r="W24" s="246">
        <f>ROUND(+O24/S24-1,2)</f>
        <v>0.06</v>
      </c>
      <c r="X24" s="575"/>
      <c r="Y24" s="342"/>
      <c r="Z24" s="342"/>
      <c r="AA24" s="342"/>
      <c r="AB24" s="342"/>
      <c r="AC24" s="342"/>
      <c r="AD24" s="342"/>
      <c r="AE24" s="342"/>
      <c r="AF24" s="342"/>
      <c r="AG24" s="342"/>
      <c r="AH24" s="342"/>
      <c r="AI24" s="342"/>
      <c r="AJ24" s="342"/>
    </row>
    <row r="25" spans="3:36" ht="12.75">
      <c r="C25" s="189"/>
      <c r="D25" s="266"/>
      <c r="E25" s="266"/>
      <c r="F25" s="266"/>
      <c r="G25" s="267"/>
      <c r="H25" s="266"/>
      <c r="I25" s="266"/>
      <c r="J25" s="266"/>
      <c r="K25" s="267"/>
      <c r="L25" s="266"/>
      <c r="M25" s="267"/>
      <c r="N25" s="75"/>
      <c r="O25" s="266"/>
      <c r="P25" s="258"/>
      <c r="Q25" s="267"/>
      <c r="R25" s="258"/>
      <c r="S25" s="266"/>
      <c r="T25" s="258"/>
      <c r="U25" s="571"/>
      <c r="V25" s="42"/>
      <c r="W25" s="267"/>
      <c r="X25" s="575"/>
      <c r="Y25" s="342"/>
      <c r="Z25" s="342"/>
      <c r="AA25" s="342"/>
      <c r="AB25" s="342"/>
      <c r="AC25" s="342"/>
      <c r="AD25" s="342"/>
      <c r="AE25" s="342"/>
      <c r="AF25" s="342"/>
      <c r="AG25" s="342"/>
      <c r="AH25" s="342"/>
      <c r="AI25" s="342"/>
      <c r="AJ25" s="342"/>
    </row>
    <row r="26" spans="3:36" ht="12.75">
      <c r="C26" s="1" t="s">
        <v>120</v>
      </c>
      <c r="D26" s="85"/>
      <c r="E26" s="406">
        <f>+'Segment  2007 Qtr'!O12</f>
        <v>87</v>
      </c>
      <c r="F26" s="85"/>
      <c r="G26" s="242">
        <f>ROUND(+E26/$E$27,2)</f>
        <v>0.03</v>
      </c>
      <c r="H26" s="85"/>
      <c r="I26" s="406">
        <v>66</v>
      </c>
      <c r="J26" s="85"/>
      <c r="K26" s="242">
        <f>ROUND(+I26/$I$27,2)</f>
        <v>0.02</v>
      </c>
      <c r="L26" s="85"/>
      <c r="M26" s="242">
        <f t="shared" si="1"/>
        <v>0.32</v>
      </c>
      <c r="N26" s="75"/>
      <c r="O26" s="405">
        <f>E26+88</f>
        <v>175</v>
      </c>
      <c r="P26" s="258"/>
      <c r="Q26" s="242">
        <f>ROUND(+O26/$O$27,2)</f>
        <v>0.03</v>
      </c>
      <c r="R26" s="258"/>
      <c r="S26" s="405">
        <v>127</v>
      </c>
      <c r="T26" s="258"/>
      <c r="U26" s="242">
        <f>ROUND(+S26/$S$27,2)</f>
        <v>0.02</v>
      </c>
      <c r="V26" s="42"/>
      <c r="W26" s="242">
        <f>ROUND(+O26/S26-1,2)</f>
        <v>0.38</v>
      </c>
      <c r="X26" s="575"/>
      <c r="Y26" s="342"/>
      <c r="Z26" s="342"/>
      <c r="AA26" s="342"/>
      <c r="AB26" s="342"/>
      <c r="AC26" s="342"/>
      <c r="AD26" s="342"/>
      <c r="AE26" s="342"/>
      <c r="AF26" s="342"/>
      <c r="AG26" s="342"/>
      <c r="AH26" s="342"/>
      <c r="AI26" s="342"/>
      <c r="AJ26" s="342"/>
    </row>
    <row r="27" spans="3:36" ht="13.5" thickBot="1">
      <c r="C27" s="185" t="s">
        <v>227</v>
      </c>
      <c r="D27" s="231"/>
      <c r="E27" s="407">
        <f>+E24+E26</f>
        <v>3008</v>
      </c>
      <c r="F27" s="231"/>
      <c r="G27" s="279">
        <f>+G24+G26</f>
        <v>1</v>
      </c>
      <c r="H27" s="231"/>
      <c r="I27" s="407">
        <f>+I24+I26</f>
        <v>2906</v>
      </c>
      <c r="J27" s="231"/>
      <c r="K27" s="279">
        <f>+K24+K26</f>
        <v>1</v>
      </c>
      <c r="L27" s="231"/>
      <c r="M27" s="279">
        <f t="shared" si="1"/>
        <v>0.04</v>
      </c>
      <c r="N27" s="75"/>
      <c r="O27" s="407">
        <f>+O24+O26</f>
        <v>6090</v>
      </c>
      <c r="P27" s="231"/>
      <c r="Q27" s="279">
        <f>+Q24+Q26</f>
        <v>1</v>
      </c>
      <c r="R27" s="258"/>
      <c r="S27" s="407">
        <f>+S24+S26</f>
        <v>5711</v>
      </c>
      <c r="T27" s="231"/>
      <c r="U27" s="279">
        <f>+U24+U26</f>
        <v>1</v>
      </c>
      <c r="V27" s="42"/>
      <c r="W27" s="279">
        <f>ROUND(+O27/S27-1,2)</f>
        <v>0.07</v>
      </c>
      <c r="X27" s="575"/>
      <c r="Y27" s="342"/>
      <c r="Z27" s="342"/>
      <c r="AA27" s="342"/>
      <c r="AB27" s="342"/>
      <c r="AC27" s="342"/>
      <c r="AD27" s="342"/>
      <c r="AE27" s="342"/>
      <c r="AF27" s="342"/>
      <c r="AG27" s="342"/>
      <c r="AH27" s="342"/>
      <c r="AI27" s="342"/>
      <c r="AJ27" s="342"/>
    </row>
    <row r="28" spans="4:14" ht="12" thickTop="1">
      <c r="D28" s="40"/>
      <c r="E28" s="40"/>
      <c r="F28" s="40"/>
      <c r="G28" s="85"/>
      <c r="H28" s="40"/>
      <c r="I28" s="40"/>
      <c r="J28" s="40"/>
      <c r="K28" s="40"/>
      <c r="L28" s="42"/>
      <c r="M28" s="17"/>
      <c r="N28" s="42"/>
    </row>
    <row r="29" spans="4:13" ht="11.25">
      <c r="D29" s="9"/>
      <c r="E29" s="9"/>
      <c r="F29" s="9"/>
      <c r="G29" s="9"/>
      <c r="H29" s="9"/>
      <c r="I29" s="9"/>
      <c r="J29" s="9"/>
      <c r="K29" s="9"/>
      <c r="M29" s="242"/>
    </row>
    <row r="30" spans="4:11" ht="11.25">
      <c r="D30" s="9"/>
      <c r="E30" s="9"/>
      <c r="F30" s="9"/>
      <c r="G30" s="9"/>
      <c r="H30" s="9"/>
      <c r="I30" s="9"/>
      <c r="J30" s="9"/>
      <c r="K30" s="9"/>
    </row>
  </sheetData>
  <mergeCells count="4">
    <mergeCell ref="A1:W1"/>
    <mergeCell ref="A2:W2"/>
    <mergeCell ref="A3:W3"/>
    <mergeCell ref="A4:W4"/>
  </mergeCells>
  <conditionalFormatting sqref="G27 K27 G17 K17 Q17 U17 Q27 U27">
    <cfRule type="cellIs" priority="1" dxfId="1" operator="notEqual" stopIfTrue="1">
      <formula>1</formula>
    </cfRule>
  </conditionalFormatting>
  <hyperlinks>
    <hyperlink ref="E17" location="'Financial Highlights'!E12" display="'Financial Highlights'!E12"/>
    <hyperlink ref="E27" location="'Financial Highlights'!E14" display="'Financial Highlights'!E14"/>
    <hyperlink ref="I17" location="'Financial Highlights'!G12" display="'Financial Highlights'!G12"/>
    <hyperlink ref="I27" location="'Financial Highlights'!G14" display="'Financial Highlights'!G14"/>
    <hyperlink ref="O17" location="'Financial Highlights'!E12" display="'Financial Highlights'!E12"/>
    <hyperlink ref="S17" location="'Financial Highlights'!E12" display="'Financial Highlights'!E12"/>
    <hyperlink ref="O27" location="'Financial Highlights'!E14" display="'Financial Highlights'!E14"/>
    <hyperlink ref="S27" location="'Financial Highlights'!E14" display="'Financial Highlights'!E14"/>
  </hyperlinks>
  <printOptions/>
  <pageMargins left="0.5" right="0.5" top="0.5" bottom="0.55" header="0.75" footer="0.3"/>
  <pageSetup horizontalDpi="600" verticalDpi="600" orientation="landscape" r:id="rId2"/>
  <headerFooter alignWithMargins="0">
    <oddFooter>&amp;L&amp;A&amp;R&amp;"Arial,Regular"&amp;8Page 4</oddFooter>
  </headerFooter>
  <ignoredErrors>
    <ignoredError sqref="U12" formula="1"/>
  </ignoredErrors>
  <drawing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C1:T59"/>
  <sheetViews>
    <sheetView workbookViewId="0" topLeftCell="A1">
      <selection activeCell="A1" sqref="A1"/>
    </sheetView>
  </sheetViews>
  <sheetFormatPr defaultColWidth="9.33203125" defaultRowHeight="12.75"/>
  <cols>
    <col min="1" max="2" width="3.33203125" style="1" customWidth="1"/>
    <col min="3" max="3" width="41" style="1" customWidth="1"/>
    <col min="4" max="4" width="1.171875" style="1" customWidth="1"/>
    <col min="5" max="5" width="8.33203125" style="9" customWidth="1"/>
    <col min="6" max="6" width="3.83203125" style="9" customWidth="1"/>
    <col min="7" max="7" width="8.33203125" style="368" customWidth="1"/>
    <col min="8" max="8" width="3.83203125" style="28" customWidth="1"/>
    <col min="9" max="9" width="8.33203125" style="40" customWidth="1"/>
    <col min="10" max="10" width="3.83203125" style="9" customWidth="1"/>
    <col min="11" max="11" width="8.33203125" style="9" customWidth="1"/>
    <col min="12" max="12" width="3" style="9" customWidth="1"/>
    <col min="13" max="13" width="8.33203125" style="9" customWidth="1"/>
    <col min="14" max="14" width="4.83203125" style="9" customWidth="1"/>
    <col min="15" max="15" width="8.33203125" style="9" customWidth="1"/>
    <col min="16" max="16" width="4.83203125" style="9" customWidth="1"/>
    <col min="17" max="17" width="8.33203125" style="1" customWidth="1"/>
    <col min="18" max="18" width="1.5" style="1" customWidth="1"/>
    <col min="19" max="16384" width="9.33203125" style="1" customWidth="1"/>
  </cols>
  <sheetData>
    <row r="1" spans="3:18" ht="12.75">
      <c r="C1" s="88" t="s">
        <v>89</v>
      </c>
      <c r="D1" s="88"/>
      <c r="E1" s="88"/>
      <c r="F1" s="88"/>
      <c r="G1" s="451"/>
      <c r="H1" s="88"/>
      <c r="I1" s="451"/>
      <c r="J1" s="88"/>
      <c r="K1" s="88"/>
      <c r="L1" s="88"/>
      <c r="M1" s="88"/>
      <c r="N1" s="88"/>
      <c r="O1" s="88"/>
      <c r="P1" s="88"/>
      <c r="Q1" s="88"/>
      <c r="R1" s="87"/>
    </row>
    <row r="2" spans="3:18" ht="12">
      <c r="C2" s="89" t="s">
        <v>72</v>
      </c>
      <c r="D2" s="89"/>
      <c r="E2" s="89"/>
      <c r="F2" s="89"/>
      <c r="G2" s="452"/>
      <c r="H2" s="89"/>
      <c r="I2" s="452"/>
      <c r="J2" s="89"/>
      <c r="K2" s="89"/>
      <c r="L2" s="89"/>
      <c r="M2" s="89"/>
      <c r="N2" s="89"/>
      <c r="O2" s="89"/>
      <c r="P2" s="89"/>
      <c r="Q2" s="89"/>
      <c r="R2" s="87"/>
    </row>
    <row r="3" spans="3:18" ht="12">
      <c r="C3" s="89" t="s">
        <v>420</v>
      </c>
      <c r="D3" s="89"/>
      <c r="E3" s="89"/>
      <c r="F3" s="89"/>
      <c r="G3" s="452"/>
      <c r="H3" s="89"/>
      <c r="I3" s="452"/>
      <c r="J3" s="89"/>
      <c r="K3" s="89"/>
      <c r="L3" s="89"/>
      <c r="M3" s="89"/>
      <c r="N3" s="89"/>
      <c r="O3" s="89"/>
      <c r="P3" s="89"/>
      <c r="Q3" s="89"/>
      <c r="R3" s="87"/>
    </row>
    <row r="4" spans="3:18" ht="12">
      <c r="C4" s="90" t="s">
        <v>147</v>
      </c>
      <c r="D4" s="90"/>
      <c r="E4" s="90"/>
      <c r="F4" s="90"/>
      <c r="G4" s="262"/>
      <c r="H4" s="90"/>
      <c r="I4" s="262"/>
      <c r="J4" s="90"/>
      <c r="K4" s="90"/>
      <c r="L4" s="90"/>
      <c r="M4" s="90"/>
      <c r="N4" s="90"/>
      <c r="O4" s="90"/>
      <c r="P4" s="90"/>
      <c r="Q4" s="90"/>
      <c r="R4" s="87"/>
    </row>
    <row r="5" spans="3:18" ht="12">
      <c r="C5" s="90" t="s">
        <v>163</v>
      </c>
      <c r="D5" s="90"/>
      <c r="E5" s="90"/>
      <c r="F5" s="90"/>
      <c r="G5" s="262"/>
      <c r="H5" s="90"/>
      <c r="I5" s="262"/>
      <c r="J5" s="90"/>
      <c r="K5" s="90"/>
      <c r="L5" s="90"/>
      <c r="M5" s="90"/>
      <c r="N5" s="90"/>
      <c r="O5" s="90"/>
      <c r="P5" s="90"/>
      <c r="Q5" s="90"/>
      <c r="R5" s="87"/>
    </row>
    <row r="6" spans="3:18" ht="10.5" customHeight="1">
      <c r="C6" s="506"/>
      <c r="D6" s="2"/>
      <c r="E6" s="2" t="s">
        <v>155</v>
      </c>
      <c r="F6" s="2"/>
      <c r="G6" s="255" t="s">
        <v>155</v>
      </c>
      <c r="H6" s="2"/>
      <c r="I6" s="255"/>
      <c r="J6" s="2"/>
      <c r="K6" s="2"/>
      <c r="L6" s="2"/>
      <c r="M6" s="2"/>
      <c r="N6" s="2"/>
      <c r="O6" s="2"/>
      <c r="P6" s="2"/>
      <c r="Q6" s="2"/>
      <c r="R6" s="2"/>
    </row>
    <row r="7" spans="3:17" ht="10.5" customHeight="1">
      <c r="C7" s="43"/>
      <c r="D7" s="43"/>
      <c r="E7" s="44" t="s">
        <v>91</v>
      </c>
      <c r="F7" s="44"/>
      <c r="G7" s="453" t="s">
        <v>92</v>
      </c>
      <c r="H7" s="44"/>
      <c r="I7" s="453" t="s">
        <v>93</v>
      </c>
      <c r="J7" s="44"/>
      <c r="K7" s="44" t="s">
        <v>84</v>
      </c>
      <c r="L7" s="44"/>
      <c r="M7" s="44" t="s">
        <v>96</v>
      </c>
      <c r="N7" s="44"/>
      <c r="O7" s="163" t="s">
        <v>342</v>
      </c>
      <c r="P7" s="44"/>
      <c r="Q7" s="44" t="s">
        <v>90</v>
      </c>
    </row>
    <row r="8" spans="4:18" ht="10.5" customHeight="1">
      <c r="D8" s="163"/>
      <c r="E8" s="163" t="s">
        <v>156</v>
      </c>
      <c r="F8" s="163"/>
      <c r="G8" s="454" t="s">
        <v>94</v>
      </c>
      <c r="H8" s="163"/>
      <c r="I8" s="454" t="s">
        <v>95</v>
      </c>
      <c r="J8" s="163"/>
      <c r="K8" s="163" t="s">
        <v>158</v>
      </c>
      <c r="L8" s="163"/>
      <c r="M8" s="163" t="s">
        <v>204</v>
      </c>
      <c r="N8" s="163"/>
      <c r="O8" s="163" t="s">
        <v>343</v>
      </c>
      <c r="P8" s="163"/>
      <c r="Q8" s="163" t="s">
        <v>96</v>
      </c>
      <c r="R8" s="163"/>
    </row>
    <row r="9" spans="3:18" ht="11.25">
      <c r="C9" s="375">
        <v>39263</v>
      </c>
      <c r="D9" s="64"/>
      <c r="E9" s="11"/>
      <c r="F9" s="11"/>
      <c r="G9" s="455"/>
      <c r="H9" s="25"/>
      <c r="I9" s="456"/>
      <c r="J9" s="11"/>
      <c r="K9" s="11"/>
      <c r="L9" s="11"/>
      <c r="M9" s="11"/>
      <c r="N9" s="11"/>
      <c r="O9" s="11"/>
      <c r="P9" s="11"/>
      <c r="Q9" s="11"/>
      <c r="R9" s="67"/>
    </row>
    <row r="10" spans="3:17" ht="11.25" customHeight="1">
      <c r="C10" s="1" t="s">
        <v>124</v>
      </c>
      <c r="E10" s="37">
        <v>2589</v>
      </c>
      <c r="F10" s="45"/>
      <c r="G10" s="37">
        <v>1621</v>
      </c>
      <c r="H10" s="45"/>
      <c r="I10" s="37">
        <v>335</v>
      </c>
      <c r="J10" s="31"/>
      <c r="K10" s="58">
        <v>0</v>
      </c>
      <c r="L10" s="37"/>
      <c r="M10" s="37">
        <f>(E10+G10+I10+K10)</f>
        <v>4545</v>
      </c>
      <c r="N10" s="37"/>
      <c r="O10" s="37">
        <v>92</v>
      </c>
      <c r="P10" s="37"/>
      <c r="Q10" s="59">
        <f aca="true" t="shared" si="0" ref="Q10:Q16">M10+O10</f>
        <v>4637</v>
      </c>
    </row>
    <row r="11" spans="3:17" ht="11.25" customHeight="1">
      <c r="C11" s="1" t="s">
        <v>125</v>
      </c>
      <c r="E11" s="46">
        <v>1497</v>
      </c>
      <c r="F11" s="46"/>
      <c r="G11" s="46">
        <v>1166</v>
      </c>
      <c r="H11" s="46"/>
      <c r="I11" s="46">
        <v>332</v>
      </c>
      <c r="J11" s="46"/>
      <c r="K11" s="46">
        <v>0</v>
      </c>
      <c r="L11" s="46"/>
      <c r="M11" s="168">
        <f aca="true" t="shared" si="1" ref="M11:M16">(E11+G11+I11+K11)</f>
        <v>2995</v>
      </c>
      <c r="N11" s="46"/>
      <c r="O11" s="46">
        <v>87</v>
      </c>
      <c r="P11" s="46"/>
      <c r="Q11" s="169">
        <f t="shared" si="0"/>
        <v>3082</v>
      </c>
    </row>
    <row r="12" spans="3:17" ht="11.25" customHeight="1">
      <c r="C12" s="1" t="s">
        <v>126</v>
      </c>
      <c r="E12" s="46">
        <v>1455</v>
      </c>
      <c r="F12" s="46"/>
      <c r="G12" s="46">
        <v>1141</v>
      </c>
      <c r="H12" s="46"/>
      <c r="I12" s="46">
        <v>325</v>
      </c>
      <c r="J12" s="46"/>
      <c r="K12" s="46">
        <v>0</v>
      </c>
      <c r="L12" s="46"/>
      <c r="M12" s="168">
        <f t="shared" si="1"/>
        <v>2921</v>
      </c>
      <c r="N12" s="46"/>
      <c r="O12" s="46">
        <v>87</v>
      </c>
      <c r="P12" s="46"/>
      <c r="Q12" s="169">
        <f t="shared" si="0"/>
        <v>3008</v>
      </c>
    </row>
    <row r="13" spans="3:17" ht="11.25" customHeight="1">
      <c r="C13" s="1" t="s">
        <v>119</v>
      </c>
      <c r="E13" s="46">
        <v>1016</v>
      </c>
      <c r="F13" s="46"/>
      <c r="G13" s="46">
        <v>614</v>
      </c>
      <c r="H13" s="46"/>
      <c r="I13" s="46">
        <v>163</v>
      </c>
      <c r="J13" s="46"/>
      <c r="K13" s="46">
        <v>0</v>
      </c>
      <c r="L13" s="46"/>
      <c r="M13" s="168">
        <f t="shared" si="1"/>
        <v>1793</v>
      </c>
      <c r="N13" s="46"/>
      <c r="O13" s="46">
        <v>0</v>
      </c>
      <c r="P13" s="46"/>
      <c r="Q13" s="169">
        <f t="shared" si="0"/>
        <v>1793</v>
      </c>
    </row>
    <row r="14" spans="3:17" ht="11.25" customHeight="1">
      <c r="C14" s="15" t="s">
        <v>118</v>
      </c>
      <c r="E14" s="46">
        <v>0</v>
      </c>
      <c r="F14" s="46"/>
      <c r="G14" s="46">
        <v>0</v>
      </c>
      <c r="H14" s="46"/>
      <c r="I14" s="46">
        <v>0</v>
      </c>
      <c r="J14" s="46"/>
      <c r="K14" s="46">
        <v>0</v>
      </c>
      <c r="L14" s="46"/>
      <c r="M14" s="168">
        <f t="shared" si="1"/>
        <v>0</v>
      </c>
      <c r="N14" s="46"/>
      <c r="O14" s="46">
        <v>33</v>
      </c>
      <c r="P14" s="46"/>
      <c r="Q14" s="169">
        <f t="shared" si="0"/>
        <v>33</v>
      </c>
    </row>
    <row r="15" spans="3:17" ht="11.25" customHeight="1">
      <c r="C15" s="1" t="s">
        <v>129</v>
      </c>
      <c r="E15" s="46">
        <v>128</v>
      </c>
      <c r="F15" s="46"/>
      <c r="G15" s="46">
        <v>230</v>
      </c>
      <c r="H15" s="46"/>
      <c r="I15" s="46">
        <v>64</v>
      </c>
      <c r="J15" s="46"/>
      <c r="K15" s="46">
        <v>0</v>
      </c>
      <c r="L15" s="46"/>
      <c r="M15" s="168">
        <f t="shared" si="1"/>
        <v>422</v>
      </c>
      <c r="N15" s="46"/>
      <c r="O15" s="46">
        <v>12</v>
      </c>
      <c r="P15" s="46"/>
      <c r="Q15" s="169">
        <f t="shared" si="0"/>
        <v>434</v>
      </c>
    </row>
    <row r="16" spans="3:17" ht="11.25" customHeight="1">
      <c r="C16" s="1" t="s">
        <v>127</v>
      </c>
      <c r="E16" s="46">
        <v>130</v>
      </c>
      <c r="F16" s="46"/>
      <c r="G16" s="46">
        <v>162</v>
      </c>
      <c r="H16" s="46"/>
      <c r="I16" s="46">
        <v>16</v>
      </c>
      <c r="J16" s="46"/>
      <c r="K16" s="46">
        <v>36</v>
      </c>
      <c r="L16" s="46"/>
      <c r="M16" s="168">
        <f t="shared" si="1"/>
        <v>344</v>
      </c>
      <c r="N16" s="46"/>
      <c r="O16" s="46">
        <v>12</v>
      </c>
      <c r="P16" s="46"/>
      <c r="Q16" s="169">
        <f t="shared" si="0"/>
        <v>356</v>
      </c>
    </row>
    <row r="17" spans="3:17" ht="11.25" customHeight="1">
      <c r="C17" s="1" t="s">
        <v>57</v>
      </c>
      <c r="E17" s="259">
        <f>E12-E13-E14-E15-E16</f>
        <v>181</v>
      </c>
      <c r="F17" s="259"/>
      <c r="G17" s="259">
        <f>G12-G13-G14-G15-G16</f>
        <v>135</v>
      </c>
      <c r="H17" s="259"/>
      <c r="I17" s="259">
        <f>I12-I13-I14-I15-I16</f>
        <v>82</v>
      </c>
      <c r="J17" s="259"/>
      <c r="K17" s="259">
        <f>K12-K13-K14-K15-K16</f>
        <v>-36</v>
      </c>
      <c r="L17" s="259"/>
      <c r="M17" s="259">
        <f>M12-M13-M14-M15-M16</f>
        <v>362</v>
      </c>
      <c r="N17" s="259"/>
      <c r="O17" s="259">
        <f>O12-O13-O14-O15-O16</f>
        <v>30</v>
      </c>
      <c r="P17" s="259"/>
      <c r="Q17" s="259">
        <f>Q12-Q13-Q14-Q15-Q16</f>
        <v>392</v>
      </c>
    </row>
    <row r="18" spans="5:17" ht="6.75" customHeight="1">
      <c r="E18" s="47"/>
      <c r="F18" s="47"/>
      <c r="G18" s="47"/>
      <c r="H18" s="48"/>
      <c r="I18" s="47"/>
      <c r="J18" s="47"/>
      <c r="K18" s="47"/>
      <c r="L18" s="47"/>
      <c r="M18" s="47"/>
      <c r="N18" s="47"/>
      <c r="O18" s="47"/>
      <c r="P18" s="47"/>
      <c r="Q18" s="47"/>
    </row>
    <row r="19" spans="3:17" ht="11.25" customHeight="1">
      <c r="C19" s="1" t="s">
        <v>121</v>
      </c>
      <c r="E19" s="46">
        <v>257</v>
      </c>
      <c r="F19" s="46"/>
      <c r="G19" s="46">
        <v>111</v>
      </c>
      <c r="H19" s="46"/>
      <c r="I19" s="46">
        <v>66</v>
      </c>
      <c r="J19" s="46"/>
      <c r="K19" s="46">
        <v>23</v>
      </c>
      <c r="L19" s="46"/>
      <c r="M19" s="168">
        <f>(E19+G19+I19+K19)</f>
        <v>457</v>
      </c>
      <c r="N19" s="46"/>
      <c r="O19" s="46">
        <v>14</v>
      </c>
      <c r="P19" s="46"/>
      <c r="Q19" s="169">
        <f>M19+O19</f>
        <v>471</v>
      </c>
    </row>
    <row r="20" spans="3:19" ht="11.25" customHeight="1">
      <c r="C20" s="172" t="s">
        <v>166</v>
      </c>
      <c r="D20" s="172"/>
      <c r="E20" s="211">
        <v>15</v>
      </c>
      <c r="F20" s="211"/>
      <c r="G20" s="211">
        <v>-27</v>
      </c>
      <c r="H20" s="211"/>
      <c r="I20" s="211">
        <v>-7</v>
      </c>
      <c r="J20" s="211"/>
      <c r="K20" s="211">
        <v>9</v>
      </c>
      <c r="L20" s="211"/>
      <c r="M20" s="168">
        <f>(E20+G20+I20+K20)</f>
        <v>-10</v>
      </c>
      <c r="N20" s="211"/>
      <c r="O20" s="211">
        <v>-1</v>
      </c>
      <c r="P20" s="211"/>
      <c r="Q20" s="169">
        <f>M20+O20</f>
        <v>-11</v>
      </c>
      <c r="R20" s="172"/>
      <c r="S20" s="172"/>
    </row>
    <row r="21" spans="3:20" ht="11.25" customHeight="1">
      <c r="C21" s="1" t="s">
        <v>139</v>
      </c>
      <c r="E21" s="46">
        <v>0</v>
      </c>
      <c r="F21" s="46"/>
      <c r="G21" s="46">
        <v>0</v>
      </c>
      <c r="H21" s="46"/>
      <c r="I21" s="46">
        <v>0</v>
      </c>
      <c r="J21" s="46"/>
      <c r="K21" s="46">
        <v>42</v>
      </c>
      <c r="L21" s="46"/>
      <c r="M21" s="168">
        <f>(E21+G21+I21+K21)</f>
        <v>42</v>
      </c>
      <c r="N21" s="46"/>
      <c r="O21" s="46">
        <v>0</v>
      </c>
      <c r="P21" s="46"/>
      <c r="Q21" s="169">
        <f>M21+O21</f>
        <v>42</v>
      </c>
      <c r="S21" s="42"/>
      <c r="T21" s="263"/>
    </row>
    <row r="22" spans="3:17" ht="11.25" customHeight="1">
      <c r="C22" s="1" t="s">
        <v>246</v>
      </c>
      <c r="D22" s="42"/>
      <c r="E22" s="46">
        <v>1</v>
      </c>
      <c r="F22" s="46"/>
      <c r="G22" s="46">
        <v>1</v>
      </c>
      <c r="H22" s="46"/>
      <c r="I22" s="46">
        <v>2</v>
      </c>
      <c r="J22" s="46"/>
      <c r="K22" s="46">
        <v>-8</v>
      </c>
      <c r="L22" s="46"/>
      <c r="M22" s="168">
        <f>(E22+G22+I22+K22)</f>
        <v>-4</v>
      </c>
      <c r="N22" s="46"/>
      <c r="O22" s="46">
        <v>0</v>
      </c>
      <c r="P22" s="46"/>
      <c r="Q22" s="169">
        <f>M22+O22</f>
        <v>-4</v>
      </c>
    </row>
    <row r="23" spans="3:17" ht="11.25" customHeight="1">
      <c r="C23" s="1" t="s">
        <v>151</v>
      </c>
      <c r="E23" s="46">
        <v>115</v>
      </c>
      <c r="F23" s="46"/>
      <c r="G23" s="46">
        <v>58</v>
      </c>
      <c r="H23" s="46"/>
      <c r="I23" s="46">
        <v>7</v>
      </c>
      <c r="J23" s="46"/>
      <c r="K23" s="46">
        <v>-16</v>
      </c>
      <c r="L23" s="46"/>
      <c r="M23" s="168">
        <f>(E23+G23+I23+K23)</f>
        <v>164</v>
      </c>
      <c r="N23" s="46"/>
      <c r="O23" s="46">
        <v>1</v>
      </c>
      <c r="P23" s="46"/>
      <c r="Q23" s="169">
        <f>M23+O23</f>
        <v>165</v>
      </c>
    </row>
    <row r="24" spans="3:19" ht="11.25" customHeight="1">
      <c r="C24" s="172" t="s">
        <v>58</v>
      </c>
      <c r="D24" s="201"/>
      <c r="E24" s="260">
        <f>+E17+E19-E22-E21-E23+E20</f>
        <v>337</v>
      </c>
      <c r="F24" s="260"/>
      <c r="G24" s="260">
        <f>+G17+G19-G22-G21-G23+G20</f>
        <v>160</v>
      </c>
      <c r="H24" s="260"/>
      <c r="I24" s="260">
        <f>+I17+I19-I22-I21-I23+I20</f>
        <v>132</v>
      </c>
      <c r="J24" s="260"/>
      <c r="K24" s="260">
        <f>+K17+K19-K22-K21-K23+K20</f>
        <v>-22</v>
      </c>
      <c r="L24" s="260"/>
      <c r="M24" s="260">
        <f>+M17+M19-M22-M21-M23+M20</f>
        <v>607</v>
      </c>
      <c r="N24" s="260"/>
      <c r="O24" s="260">
        <f>+O17+O19-O22-O21-O23+O20</f>
        <v>42</v>
      </c>
      <c r="P24" s="260"/>
      <c r="Q24" s="260">
        <f>+Q17+Q19-Q22-Q21-Q23+Q20</f>
        <v>649</v>
      </c>
      <c r="R24" s="172"/>
      <c r="S24" s="172"/>
    </row>
    <row r="25" spans="3:19" ht="5.25" customHeight="1">
      <c r="C25" s="201"/>
      <c r="D25" s="201"/>
      <c r="E25" s="213"/>
      <c r="F25" s="213"/>
      <c r="G25" s="213"/>
      <c r="H25" s="213"/>
      <c r="I25" s="213"/>
      <c r="J25" s="213"/>
      <c r="K25" s="213"/>
      <c r="L25" s="213"/>
      <c r="M25" s="213"/>
      <c r="N25" s="213"/>
      <c r="O25" s="213"/>
      <c r="P25" s="213"/>
      <c r="Q25" s="213"/>
      <c r="R25" s="172"/>
      <c r="S25" s="172"/>
    </row>
    <row r="26" spans="3:19" ht="11.25" customHeight="1">
      <c r="C26" s="172" t="s">
        <v>166</v>
      </c>
      <c r="D26" s="172"/>
      <c r="E26" s="211">
        <f>+E20</f>
        <v>15</v>
      </c>
      <c r="F26" s="211"/>
      <c r="G26" s="211">
        <f>+G20</f>
        <v>-27</v>
      </c>
      <c r="H26" s="211"/>
      <c r="I26" s="211">
        <f>+I20</f>
        <v>-7</v>
      </c>
      <c r="J26" s="211"/>
      <c r="K26" s="211">
        <v>9</v>
      </c>
      <c r="L26" s="211"/>
      <c r="M26" s="211">
        <f>(E26+G26+I26+K26)</f>
        <v>-10</v>
      </c>
      <c r="N26" s="211"/>
      <c r="O26" s="211">
        <f>+O20</f>
        <v>-1</v>
      </c>
      <c r="P26" s="211"/>
      <c r="Q26" s="211">
        <f>M26+O26</f>
        <v>-11</v>
      </c>
      <c r="R26" s="172"/>
      <c r="S26" s="172"/>
    </row>
    <row r="27" spans="3:19" ht="11.25" customHeight="1">
      <c r="C27" s="173" t="s">
        <v>247</v>
      </c>
      <c r="D27" s="173"/>
      <c r="E27" s="211">
        <v>8</v>
      </c>
      <c r="F27" s="211"/>
      <c r="G27" s="211">
        <v>-4</v>
      </c>
      <c r="H27" s="211"/>
      <c r="I27" s="211">
        <v>0</v>
      </c>
      <c r="J27" s="211"/>
      <c r="K27" s="211">
        <v>0</v>
      </c>
      <c r="L27" s="211"/>
      <c r="M27" s="211">
        <f>(E27+G27+I27+K27)</f>
        <v>4</v>
      </c>
      <c r="N27" s="211"/>
      <c r="O27" s="211">
        <v>0</v>
      </c>
      <c r="P27" s="211"/>
      <c r="Q27" s="169">
        <f>M27+O27</f>
        <v>4</v>
      </c>
      <c r="R27" s="172"/>
      <c r="S27" s="172"/>
    </row>
    <row r="28" spans="3:19" ht="13.5" customHeight="1" thickBot="1">
      <c r="C28" s="173" t="s">
        <v>249</v>
      </c>
      <c r="D28" s="172"/>
      <c r="E28" s="212">
        <f>E24-E26+E27</f>
        <v>330</v>
      </c>
      <c r="F28" s="194"/>
      <c r="G28" s="212">
        <f>G24-G26+G27</f>
        <v>183</v>
      </c>
      <c r="H28" s="212"/>
      <c r="I28" s="212">
        <f>I24-I26+I27</f>
        <v>139</v>
      </c>
      <c r="J28" s="194"/>
      <c r="K28" s="212">
        <f>K24-K26+K27</f>
        <v>-31</v>
      </c>
      <c r="L28" s="194"/>
      <c r="M28" s="212">
        <f>M24-M26+M27</f>
        <v>621</v>
      </c>
      <c r="N28" s="194"/>
      <c r="O28" s="212">
        <f>O24-O26+O27</f>
        <v>43</v>
      </c>
      <c r="P28" s="194"/>
      <c r="Q28" s="212">
        <f>Q24-Q26+Q27</f>
        <v>664</v>
      </c>
      <c r="R28" s="172"/>
      <c r="S28" s="172"/>
    </row>
    <row r="29" spans="3:18" ht="7.5" customHeight="1" thickTop="1">
      <c r="C29" s="172"/>
      <c r="D29" s="172"/>
      <c r="E29" s="214"/>
      <c r="F29" s="214"/>
      <c r="G29" s="213"/>
      <c r="H29" s="213"/>
      <c r="I29" s="214"/>
      <c r="J29" s="214"/>
      <c r="K29" s="214"/>
      <c r="L29" s="214"/>
      <c r="M29" s="214"/>
      <c r="N29" s="214"/>
      <c r="O29" s="214"/>
      <c r="P29" s="214"/>
      <c r="Q29" s="214"/>
      <c r="R29" s="172"/>
    </row>
    <row r="30" spans="3:18" ht="11.25">
      <c r="C30" s="375">
        <v>38898</v>
      </c>
      <c r="D30" s="65"/>
      <c r="E30" s="85"/>
      <c r="F30" s="85"/>
      <c r="G30" s="367"/>
      <c r="H30" s="367"/>
      <c r="I30" s="85"/>
      <c r="J30" s="85"/>
      <c r="K30" s="85"/>
      <c r="L30" s="85"/>
      <c r="M30" s="85"/>
      <c r="N30" s="85"/>
      <c r="O30" s="85"/>
      <c r="P30" s="85"/>
      <c r="Q30" s="85"/>
      <c r="R30" s="7"/>
    </row>
    <row r="31" spans="3:17" ht="11.25" customHeight="1">
      <c r="C31" s="1" t="s">
        <v>124</v>
      </c>
      <c r="E31" s="45">
        <v>2615</v>
      </c>
      <c r="F31" s="45"/>
      <c r="G31" s="45">
        <v>1485</v>
      </c>
      <c r="H31" s="515"/>
      <c r="I31" s="45">
        <v>417</v>
      </c>
      <c r="J31" s="516"/>
      <c r="K31" s="58">
        <v>0</v>
      </c>
      <c r="L31" s="37"/>
      <c r="M31" s="37">
        <f>E31+G31+I31+K31</f>
        <v>4517</v>
      </c>
      <c r="N31" s="37"/>
      <c r="O31" s="45">
        <v>66</v>
      </c>
      <c r="P31" s="37"/>
      <c r="Q31" s="59">
        <f aca="true" t="shared" si="2" ref="Q31:Q37">M31+O31</f>
        <v>4583</v>
      </c>
    </row>
    <row r="32" spans="3:17" ht="11.25" customHeight="1">
      <c r="C32" s="1" t="s">
        <v>125</v>
      </c>
      <c r="E32" s="46">
        <v>1502</v>
      </c>
      <c r="F32" s="46"/>
      <c r="G32" s="46">
        <v>1083</v>
      </c>
      <c r="H32" s="514"/>
      <c r="I32" s="46">
        <v>415</v>
      </c>
      <c r="J32" s="514"/>
      <c r="K32" s="46">
        <v>0</v>
      </c>
      <c r="L32" s="46"/>
      <c r="M32" s="168">
        <f>(E32+G32+I32+K32)</f>
        <v>3000</v>
      </c>
      <c r="N32" s="46"/>
      <c r="O32" s="46">
        <v>66</v>
      </c>
      <c r="P32" s="46"/>
      <c r="Q32" s="169">
        <f t="shared" si="2"/>
        <v>3066</v>
      </c>
    </row>
    <row r="33" spans="3:17" ht="11.25" customHeight="1">
      <c r="C33" s="1" t="s">
        <v>126</v>
      </c>
      <c r="E33" s="46">
        <v>1367</v>
      </c>
      <c r="F33" s="46"/>
      <c r="G33" s="46">
        <v>1086</v>
      </c>
      <c r="H33" s="514"/>
      <c r="I33" s="46">
        <v>387</v>
      </c>
      <c r="J33" s="514"/>
      <c r="K33" s="46">
        <v>0</v>
      </c>
      <c r="L33" s="46"/>
      <c r="M33" s="168">
        <f>(E33+G33+I33+K33)</f>
        <v>2840</v>
      </c>
      <c r="N33" s="46"/>
      <c r="O33" s="46">
        <v>66</v>
      </c>
      <c r="P33" s="46"/>
      <c r="Q33" s="169">
        <f t="shared" si="2"/>
        <v>2906</v>
      </c>
    </row>
    <row r="34" spans="3:17" ht="11.25" customHeight="1">
      <c r="C34" s="1" t="s">
        <v>119</v>
      </c>
      <c r="E34" s="46">
        <v>966</v>
      </c>
      <c r="F34" s="46"/>
      <c r="G34" s="46">
        <v>585</v>
      </c>
      <c r="H34" s="514"/>
      <c r="I34" s="46">
        <v>197</v>
      </c>
      <c r="J34" s="514"/>
      <c r="K34" s="46">
        <v>0</v>
      </c>
      <c r="L34" s="46"/>
      <c r="M34" s="168">
        <f>(E34+G34+I34+K34)</f>
        <v>1748</v>
      </c>
      <c r="N34" s="46"/>
      <c r="O34" s="46">
        <v>0</v>
      </c>
      <c r="P34" s="46"/>
      <c r="Q34" s="169">
        <f t="shared" si="2"/>
        <v>1748</v>
      </c>
    </row>
    <row r="35" spans="3:17" ht="11.25" customHeight="1">
      <c r="C35" s="15" t="s">
        <v>118</v>
      </c>
      <c r="E35" s="53">
        <v>0</v>
      </c>
      <c r="F35" s="46"/>
      <c r="G35" s="53">
        <v>0</v>
      </c>
      <c r="H35" s="514"/>
      <c r="I35" s="53">
        <v>0</v>
      </c>
      <c r="J35" s="514"/>
      <c r="K35" s="53">
        <v>0</v>
      </c>
      <c r="L35" s="46"/>
      <c r="M35" s="168">
        <f>(E35+G35+I35+K35)</f>
        <v>0</v>
      </c>
      <c r="N35" s="46"/>
      <c r="O35" s="53">
        <v>34</v>
      </c>
      <c r="P35" s="46"/>
      <c r="Q35" s="169">
        <f t="shared" si="2"/>
        <v>34</v>
      </c>
    </row>
    <row r="36" spans="3:17" ht="11.25" customHeight="1">
      <c r="C36" s="1" t="s">
        <v>129</v>
      </c>
      <c r="E36" s="46">
        <v>122</v>
      </c>
      <c r="F36" s="46"/>
      <c r="G36" s="46">
        <v>219</v>
      </c>
      <c r="H36" s="514"/>
      <c r="I36" s="46">
        <v>82</v>
      </c>
      <c r="J36" s="514"/>
      <c r="K36" s="46">
        <v>0</v>
      </c>
      <c r="L36" s="46"/>
      <c r="M36" s="168">
        <f>(E36+G36+I36+K36)</f>
        <v>423</v>
      </c>
      <c r="N36" s="46"/>
      <c r="O36" s="46">
        <v>4</v>
      </c>
      <c r="P36" s="46"/>
      <c r="Q36" s="169">
        <f t="shared" si="2"/>
        <v>427</v>
      </c>
    </row>
    <row r="37" spans="3:17" ht="11.25" customHeight="1">
      <c r="C37" s="1" t="s">
        <v>127</v>
      </c>
      <c r="E37" s="46">
        <v>125</v>
      </c>
      <c r="F37" s="46"/>
      <c r="G37" s="46">
        <v>152</v>
      </c>
      <c r="H37" s="514"/>
      <c r="I37" s="46">
        <v>18</v>
      </c>
      <c r="J37" s="514"/>
      <c r="K37" s="46">
        <v>37</v>
      </c>
      <c r="L37" s="46"/>
      <c r="M37" s="168">
        <f>E37+G37+I37+K37</f>
        <v>332</v>
      </c>
      <c r="N37" s="46"/>
      <c r="O37" s="46">
        <v>8</v>
      </c>
      <c r="P37" s="46"/>
      <c r="Q37" s="169">
        <f t="shared" si="2"/>
        <v>340</v>
      </c>
    </row>
    <row r="38" spans="3:17" ht="11.25" customHeight="1">
      <c r="C38" s="1" t="s">
        <v>57</v>
      </c>
      <c r="E38" s="259">
        <f>E33-E34-E35-E36-E37</f>
        <v>154</v>
      </c>
      <c r="F38" s="259"/>
      <c r="G38" s="259">
        <f>G33-G34-G35-G36-G37</f>
        <v>130</v>
      </c>
      <c r="H38" s="259"/>
      <c r="I38" s="259">
        <f>I33-I34-I35-I36-I37</f>
        <v>90</v>
      </c>
      <c r="J38" s="259"/>
      <c r="K38" s="259">
        <f>K33-K34-K35-K36-K37</f>
        <v>-37</v>
      </c>
      <c r="L38" s="259"/>
      <c r="M38" s="259">
        <f>M33-M34-M35-M36-M37</f>
        <v>337</v>
      </c>
      <c r="N38" s="259"/>
      <c r="O38" s="259">
        <f>O33-O34-O35-O36-O37</f>
        <v>20</v>
      </c>
      <c r="P38" s="259"/>
      <c r="Q38" s="259">
        <f>Q33-Q34-Q35-Q36-Q37</f>
        <v>357</v>
      </c>
    </row>
    <row r="39" spans="5:17" ht="6" customHeight="1">
      <c r="E39" s="47"/>
      <c r="F39" s="47"/>
      <c r="G39" s="48"/>
      <c r="H39" s="48"/>
      <c r="I39" s="47"/>
      <c r="J39" s="47"/>
      <c r="K39" s="47"/>
      <c r="L39" s="47"/>
      <c r="M39" s="47"/>
      <c r="N39" s="47"/>
      <c r="O39" s="47"/>
      <c r="P39" s="47"/>
      <c r="Q39" s="47"/>
    </row>
    <row r="40" spans="3:17" ht="11.25" customHeight="1">
      <c r="C40" s="1" t="s">
        <v>121</v>
      </c>
      <c r="E40" s="46">
        <v>212</v>
      </c>
      <c r="F40" s="46"/>
      <c r="G40" s="46">
        <v>91</v>
      </c>
      <c r="H40" s="46"/>
      <c r="I40" s="46">
        <v>55</v>
      </c>
      <c r="J40" s="46"/>
      <c r="K40" s="46">
        <v>23</v>
      </c>
      <c r="L40" s="46"/>
      <c r="M40" s="168">
        <f>(E40+G40+I40+K40)</f>
        <v>381</v>
      </c>
      <c r="N40" s="46"/>
      <c r="O40" s="168">
        <v>9</v>
      </c>
      <c r="P40" s="46"/>
      <c r="Q40" s="169">
        <f>M40+O40</f>
        <v>390</v>
      </c>
    </row>
    <row r="41" spans="3:19" ht="11.25" customHeight="1">
      <c r="C41" s="172" t="s">
        <v>166</v>
      </c>
      <c r="D41" s="172"/>
      <c r="E41" s="211">
        <v>-32</v>
      </c>
      <c r="F41" s="211"/>
      <c r="G41" s="211">
        <v>4</v>
      </c>
      <c r="H41" s="211"/>
      <c r="I41" s="211">
        <v>-3</v>
      </c>
      <c r="J41" s="211"/>
      <c r="K41" s="211">
        <v>25</v>
      </c>
      <c r="L41" s="211"/>
      <c r="M41" s="168">
        <f>(E41+G41+I41+K41)</f>
        <v>-6</v>
      </c>
      <c r="N41" s="211"/>
      <c r="O41" s="168">
        <v>-1</v>
      </c>
      <c r="P41" s="211"/>
      <c r="Q41" s="169">
        <f>M41+O41</f>
        <v>-7</v>
      </c>
      <c r="R41" s="172"/>
      <c r="S41" s="172"/>
    </row>
    <row r="42" spans="3:17" ht="11.25" customHeight="1">
      <c r="C42" s="1" t="s">
        <v>139</v>
      </c>
      <c r="E42" s="46">
        <v>0</v>
      </c>
      <c r="F42" s="46"/>
      <c r="G42" s="46">
        <v>0</v>
      </c>
      <c r="H42" s="46"/>
      <c r="I42" s="46">
        <v>0</v>
      </c>
      <c r="J42" s="46"/>
      <c r="K42" s="46">
        <v>45</v>
      </c>
      <c r="L42" s="46"/>
      <c r="M42" s="168">
        <f>(E42+G42+I42+K42)</f>
        <v>45</v>
      </c>
      <c r="N42" s="46"/>
      <c r="O42" s="168">
        <v>0</v>
      </c>
      <c r="P42" s="46"/>
      <c r="Q42" s="169">
        <f>M42+O42</f>
        <v>45</v>
      </c>
    </row>
    <row r="43" spans="3:17" ht="11.25" customHeight="1">
      <c r="C43" s="1" t="s">
        <v>246</v>
      </c>
      <c r="E43" s="46">
        <v>1</v>
      </c>
      <c r="F43" s="46"/>
      <c r="G43" s="46">
        <v>0</v>
      </c>
      <c r="H43" s="46"/>
      <c r="I43" s="46">
        <v>2</v>
      </c>
      <c r="J43" s="46"/>
      <c r="K43" s="46">
        <v>-15</v>
      </c>
      <c r="L43" s="46"/>
      <c r="M43" s="168">
        <f>(E43+G43+I43+K43)</f>
        <v>-12</v>
      </c>
      <c r="N43" s="46"/>
      <c r="O43" s="168">
        <v>0</v>
      </c>
      <c r="P43" s="46"/>
      <c r="Q43" s="169">
        <f>M43+O43</f>
        <v>-12</v>
      </c>
    </row>
    <row r="44" spans="3:17" ht="11.25" customHeight="1">
      <c r="C44" s="1" t="s">
        <v>151</v>
      </c>
      <c r="E44" s="46">
        <v>95</v>
      </c>
      <c r="F44" s="46"/>
      <c r="G44" s="46">
        <v>44</v>
      </c>
      <c r="H44" s="46"/>
      <c r="I44" s="46">
        <v>8</v>
      </c>
      <c r="J44" s="46"/>
      <c r="K44" s="46">
        <v>-13</v>
      </c>
      <c r="L44" s="46"/>
      <c r="M44" s="168">
        <f>(E44+G44+I44+K44)</f>
        <v>134</v>
      </c>
      <c r="N44" s="46"/>
      <c r="O44" s="168">
        <v>0</v>
      </c>
      <c r="P44" s="46"/>
      <c r="Q44" s="169">
        <f>M44+O44</f>
        <v>134</v>
      </c>
    </row>
    <row r="45" spans="3:19" ht="11.25" customHeight="1">
      <c r="C45" s="172" t="s">
        <v>58</v>
      </c>
      <c r="D45" s="201"/>
      <c r="E45" s="260">
        <f>+E38+E40-E43-E42-E44+E41</f>
        <v>238</v>
      </c>
      <c r="F45" s="260"/>
      <c r="G45" s="260">
        <f>+G38+G40-G43-G42-G44+G41</f>
        <v>181</v>
      </c>
      <c r="H45" s="260"/>
      <c r="I45" s="260">
        <f>+I38+I40-I43-I42-I44+I41</f>
        <v>132</v>
      </c>
      <c r="J45" s="260"/>
      <c r="K45" s="260">
        <f>+K38+K40-K43-K42-K44+K41</f>
        <v>-6</v>
      </c>
      <c r="L45" s="260"/>
      <c r="M45" s="260">
        <f>+M38+M40-M43-M42-M44+M41</f>
        <v>545</v>
      </c>
      <c r="N45" s="260"/>
      <c r="O45" s="260">
        <f>+O38+O40-O43-O42-O44+O41</f>
        <v>28</v>
      </c>
      <c r="P45" s="260"/>
      <c r="Q45" s="260">
        <f>+Q38+Q40-Q43-Q42-Q44+Q41</f>
        <v>573</v>
      </c>
      <c r="R45" s="172"/>
      <c r="S45" s="172"/>
    </row>
    <row r="46" spans="3:19" ht="6" customHeight="1">
      <c r="C46" s="201"/>
      <c r="D46" s="201"/>
      <c r="E46" s="213"/>
      <c r="F46" s="213"/>
      <c r="G46" s="213"/>
      <c r="H46" s="213"/>
      <c r="I46" s="213"/>
      <c r="J46" s="213"/>
      <c r="K46" s="213"/>
      <c r="L46" s="213"/>
      <c r="M46" s="213"/>
      <c r="N46" s="213"/>
      <c r="O46" s="213"/>
      <c r="P46" s="213"/>
      <c r="Q46" s="213"/>
      <c r="R46" s="172"/>
      <c r="S46" s="172"/>
    </row>
    <row r="47" spans="3:19" ht="11.25" customHeight="1">
      <c r="C47" s="172" t="s">
        <v>166</v>
      </c>
      <c r="D47" s="172"/>
      <c r="E47" s="211">
        <v>-32</v>
      </c>
      <c r="F47" s="211"/>
      <c r="G47" s="211">
        <v>4</v>
      </c>
      <c r="H47" s="211"/>
      <c r="I47" s="211">
        <v>-3</v>
      </c>
      <c r="J47" s="211"/>
      <c r="K47" s="211">
        <v>25</v>
      </c>
      <c r="L47" s="211"/>
      <c r="M47" s="211">
        <f>(E47+G47+I47+K47)</f>
        <v>-6</v>
      </c>
      <c r="N47" s="211"/>
      <c r="O47" s="211">
        <v>-1</v>
      </c>
      <c r="P47" s="211"/>
      <c r="Q47" s="211">
        <f>M47+O47</f>
        <v>-7</v>
      </c>
      <c r="R47" s="172"/>
      <c r="S47" s="172"/>
    </row>
    <row r="48" spans="3:19" ht="11.25" customHeight="1">
      <c r="C48" s="173" t="s">
        <v>247</v>
      </c>
      <c r="D48" s="173"/>
      <c r="E48" s="53">
        <v>-5</v>
      </c>
      <c r="F48" s="211"/>
      <c r="G48" s="211">
        <v>5</v>
      </c>
      <c r="H48" s="211"/>
      <c r="I48" s="211">
        <v>-1</v>
      </c>
      <c r="J48" s="211"/>
      <c r="K48" s="211">
        <v>0</v>
      </c>
      <c r="L48" s="211"/>
      <c r="M48" s="168">
        <f>(E48+G48+I48+K48)</f>
        <v>-1</v>
      </c>
      <c r="N48" s="211"/>
      <c r="O48" s="211">
        <v>0</v>
      </c>
      <c r="P48" s="211"/>
      <c r="Q48" s="169">
        <f>M48+O48</f>
        <v>-1</v>
      </c>
      <c r="R48" s="172"/>
      <c r="S48" s="172"/>
    </row>
    <row r="49" spans="3:19" ht="13.5" customHeight="1" thickBot="1">
      <c r="C49" s="173" t="s">
        <v>249</v>
      </c>
      <c r="D49" s="172"/>
      <c r="E49" s="212">
        <f>E45-E47+E48</f>
        <v>265</v>
      </c>
      <c r="F49" s="194"/>
      <c r="G49" s="212">
        <f>G45-G47+G48</f>
        <v>182</v>
      </c>
      <c r="H49" s="212"/>
      <c r="I49" s="212">
        <f>I45-I47+I48</f>
        <v>134</v>
      </c>
      <c r="J49" s="194"/>
      <c r="K49" s="212">
        <f>K45-K47+K48</f>
        <v>-31</v>
      </c>
      <c r="L49" s="194"/>
      <c r="M49" s="212">
        <f>M45-M47+M48</f>
        <v>550</v>
      </c>
      <c r="N49" s="194"/>
      <c r="O49" s="212">
        <f>O45-O47+O48</f>
        <v>29</v>
      </c>
      <c r="P49" s="194"/>
      <c r="Q49" s="212">
        <f>Q45-Q47+Q48</f>
        <v>579</v>
      </c>
      <c r="R49" s="172"/>
      <c r="S49" s="172"/>
    </row>
    <row r="50" spans="3:17" ht="11.25" customHeight="1" thickTop="1">
      <c r="C50" s="532" t="str">
        <f>+'Financial Highlights'!C49</f>
        <v>(1) See page 21 Non-GAAP Financial Measures.</v>
      </c>
      <c r="D50" s="42"/>
      <c r="E50" s="51"/>
      <c r="F50" s="50"/>
      <c r="G50" s="51"/>
      <c r="H50" s="51"/>
      <c r="I50" s="50"/>
      <c r="J50" s="50"/>
      <c r="K50" s="32"/>
      <c r="L50" s="32"/>
      <c r="M50" s="50"/>
      <c r="N50" s="50"/>
      <c r="O50" s="50"/>
      <c r="P50" s="50"/>
      <c r="Q50" s="50"/>
    </row>
    <row r="51" spans="5:17" ht="11.25">
      <c r="E51" s="368"/>
      <c r="F51" s="40"/>
      <c r="H51" s="368"/>
      <c r="J51" s="40"/>
      <c r="K51" s="40"/>
      <c r="L51" s="40"/>
      <c r="M51" s="40"/>
      <c r="N51" s="40"/>
      <c r="O51" s="40"/>
      <c r="P51" s="40"/>
      <c r="Q51" s="42"/>
    </row>
    <row r="52" spans="5:17" ht="11.25">
      <c r="E52" s="40"/>
      <c r="F52" s="40"/>
      <c r="H52" s="368"/>
      <c r="J52" s="40"/>
      <c r="K52" s="40"/>
      <c r="L52" s="40"/>
      <c r="M52" s="40"/>
      <c r="N52" s="40"/>
      <c r="O52" s="40"/>
      <c r="P52" s="40"/>
      <c r="Q52" s="42"/>
    </row>
    <row r="53" spans="3:17" ht="11.25">
      <c r="C53" s="80" t="s">
        <v>439</v>
      </c>
      <c r="E53" s="40"/>
      <c r="F53" s="40"/>
      <c r="H53" s="368"/>
      <c r="J53" s="40"/>
      <c r="K53" s="40"/>
      <c r="L53" s="40"/>
      <c r="M53" s="40"/>
      <c r="N53" s="40"/>
      <c r="O53" s="40"/>
      <c r="P53" s="40"/>
      <c r="Q53" s="42"/>
    </row>
    <row r="54" spans="3:17" ht="11.25" customHeight="1">
      <c r="C54" s="1" t="s">
        <v>123</v>
      </c>
      <c r="E54" s="16">
        <v>0.698</v>
      </c>
      <c r="F54" s="16"/>
      <c r="G54" s="16">
        <v>0.539</v>
      </c>
      <c r="H54" s="26"/>
      <c r="I54" s="16">
        <v>0.501</v>
      </c>
      <c r="J54" s="16"/>
      <c r="K54" s="50"/>
      <c r="L54" s="50"/>
      <c r="M54" s="16">
        <v>0.614</v>
      </c>
      <c r="N54" s="50"/>
      <c r="O54" s="258"/>
      <c r="P54"/>
      <c r="Q54" s="16">
        <f>+M54</f>
        <v>0.614</v>
      </c>
    </row>
    <row r="55" spans="3:17" ht="11.25" customHeight="1">
      <c r="C55" s="1" t="s">
        <v>130</v>
      </c>
      <c r="E55" s="16">
        <v>0.088</v>
      </c>
      <c r="F55" s="16"/>
      <c r="G55" s="16">
        <v>0.201</v>
      </c>
      <c r="H55" s="26"/>
      <c r="I55" s="16">
        <v>0.199</v>
      </c>
      <c r="J55" s="16"/>
      <c r="K55" s="50"/>
      <c r="L55" s="50"/>
      <c r="M55" s="16">
        <v>0.145</v>
      </c>
      <c r="N55" s="50"/>
      <c r="O55" s="258"/>
      <c r="P55"/>
      <c r="Q55" s="16">
        <f>+M55</f>
        <v>0.145</v>
      </c>
    </row>
    <row r="56" spans="3:17" ht="11.25" customHeight="1">
      <c r="C56" s="1" t="s">
        <v>138</v>
      </c>
      <c r="E56" s="18">
        <v>0.089</v>
      </c>
      <c r="F56" s="18"/>
      <c r="G56" s="18">
        <v>0.142</v>
      </c>
      <c r="H56" s="27"/>
      <c r="I56" s="18">
        <v>0.05</v>
      </c>
      <c r="J56" s="17"/>
      <c r="K56" s="50"/>
      <c r="L56" s="50"/>
      <c r="M56" s="18">
        <v>0.117</v>
      </c>
      <c r="N56"/>
      <c r="O56" s="258"/>
      <c r="P56" s="258"/>
      <c r="Q56" s="18">
        <f>+M56</f>
        <v>0.117</v>
      </c>
    </row>
    <row r="57" spans="3:18" ht="11.25" customHeight="1" thickBot="1">
      <c r="C57" s="7" t="s">
        <v>54</v>
      </c>
      <c r="D57" s="7"/>
      <c r="E57" s="180">
        <f>SUM(E54:E56)</f>
        <v>0.8749999999999999</v>
      </c>
      <c r="F57" s="180"/>
      <c r="G57" s="180">
        <f>SUM(G54:G56)</f>
        <v>0.882</v>
      </c>
      <c r="H57" s="190"/>
      <c r="I57" s="180">
        <f>SUM(I54:I56)</f>
        <v>0.75</v>
      </c>
      <c r="J57" s="17"/>
      <c r="K57" s="50"/>
      <c r="L57" s="50"/>
      <c r="M57" s="180">
        <f>SUM(M54:M56)</f>
        <v>0.876</v>
      </c>
      <c r="N57"/>
      <c r="O57" s="258"/>
      <c r="P57"/>
      <c r="Q57" s="180">
        <f>SUM(Q54:Q56)</f>
        <v>0.876</v>
      </c>
      <c r="R57" s="163"/>
    </row>
    <row r="58" spans="14:16" ht="13.5" thickTop="1">
      <c r="N58"/>
      <c r="O58"/>
      <c r="P58"/>
    </row>
    <row r="59" ht="12.75">
      <c r="N59"/>
    </row>
  </sheetData>
  <conditionalFormatting sqref="E26 G26 I26 K26 Q26 O26 M26 E47 G47 I47 K47 M47 Q47 O47">
    <cfRule type="cellIs" priority="1" dxfId="0" operator="notEqual" stopIfTrue="1">
      <formula>E20</formula>
    </cfRule>
  </conditionalFormatting>
  <hyperlinks>
    <hyperlink ref="C50" location="'Reconciliation Non-GAAP'!Print_Area" display="'Reconciliation Non-GAAP'!Print_Area"/>
  </hyperlinks>
  <printOptions/>
  <pageMargins left="0.5" right="0.5" top="0.5" bottom="0.55" header="0.75" footer="0.3"/>
  <pageSetup fitToHeight="1" fitToWidth="1" horizontalDpi="600" verticalDpi="600" orientation="landscape" scale="98" r:id="rId2"/>
  <headerFooter alignWithMargins="0">
    <oddFooter>&amp;L&amp;A&amp;R&amp;"Arial,Regular"&amp;8Page 5</oddFooter>
  </headerFooter>
  <drawing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C1:T62"/>
  <sheetViews>
    <sheetView workbookViewId="0" topLeftCell="A1">
      <selection activeCell="A1" sqref="A1"/>
    </sheetView>
  </sheetViews>
  <sheetFormatPr defaultColWidth="9.33203125" defaultRowHeight="12.75"/>
  <cols>
    <col min="1" max="2" width="3.33203125" style="1" customWidth="1"/>
    <col min="3" max="3" width="41" style="1" customWidth="1"/>
    <col min="4" max="4" width="1.171875" style="1" customWidth="1"/>
    <col min="5" max="5" width="8.33203125" style="9" customWidth="1"/>
    <col min="6" max="6" width="3.83203125" style="9" customWidth="1"/>
    <col min="7" max="7" width="8.33203125" style="368" customWidth="1"/>
    <col min="8" max="8" width="3.83203125" style="28" customWidth="1"/>
    <col min="9" max="9" width="8.33203125" style="40" customWidth="1"/>
    <col min="10" max="10" width="3.83203125" style="9" customWidth="1"/>
    <col min="11" max="11" width="8.33203125" style="9" customWidth="1"/>
    <col min="12" max="12" width="3" style="9" customWidth="1"/>
    <col min="13" max="13" width="8.33203125" style="9" customWidth="1"/>
    <col min="14" max="14" width="4.83203125" style="9" customWidth="1"/>
    <col min="15" max="15" width="8.33203125" style="9" customWidth="1"/>
    <col min="16" max="16" width="4.83203125" style="9" customWidth="1"/>
    <col min="17" max="17" width="8.33203125" style="1" customWidth="1"/>
    <col min="18" max="18" width="1.5" style="1" customWidth="1"/>
    <col min="19" max="16384" width="9.33203125" style="1" customWidth="1"/>
  </cols>
  <sheetData>
    <row r="1" spans="3:18" ht="12.75">
      <c r="C1" s="88" t="s">
        <v>89</v>
      </c>
      <c r="D1" s="88"/>
      <c r="E1" s="88"/>
      <c r="F1" s="88"/>
      <c r="G1" s="451"/>
      <c r="H1" s="88"/>
      <c r="I1" s="451"/>
      <c r="J1" s="88"/>
      <c r="K1" s="88"/>
      <c r="L1" s="88"/>
      <c r="M1" s="88"/>
      <c r="N1" s="88"/>
      <c r="O1" s="88"/>
      <c r="P1" s="88"/>
      <c r="Q1" s="88"/>
      <c r="R1" s="87"/>
    </row>
    <row r="2" spans="3:18" ht="12">
      <c r="C2" s="89" t="s">
        <v>72</v>
      </c>
      <c r="D2" s="89"/>
      <c r="E2" s="89"/>
      <c r="F2" s="89"/>
      <c r="G2" s="452"/>
      <c r="H2" s="89"/>
      <c r="I2" s="452"/>
      <c r="J2" s="89"/>
      <c r="K2" s="89"/>
      <c r="L2" s="89"/>
      <c r="M2" s="89"/>
      <c r="N2" s="89"/>
      <c r="O2" s="89"/>
      <c r="P2" s="89"/>
      <c r="Q2" s="89"/>
      <c r="R2" s="87"/>
    </row>
    <row r="3" spans="3:18" ht="12">
      <c r="C3" s="89" t="s">
        <v>419</v>
      </c>
      <c r="D3" s="89"/>
      <c r="E3" s="89"/>
      <c r="F3" s="89"/>
      <c r="G3" s="452"/>
      <c r="H3" s="89"/>
      <c r="I3" s="452"/>
      <c r="J3" s="89"/>
      <c r="K3" s="89"/>
      <c r="L3" s="89"/>
      <c r="M3" s="89"/>
      <c r="N3" s="89"/>
      <c r="O3" s="89"/>
      <c r="P3" s="89"/>
      <c r="Q3" s="89"/>
      <c r="R3" s="87"/>
    </row>
    <row r="4" spans="3:18" ht="12">
      <c r="C4" s="90" t="s">
        <v>147</v>
      </c>
      <c r="D4" s="90"/>
      <c r="E4" s="90"/>
      <c r="F4" s="90"/>
      <c r="G4" s="262"/>
      <c r="H4" s="90"/>
      <c r="I4" s="262"/>
      <c r="J4" s="90"/>
      <c r="K4" s="90"/>
      <c r="L4" s="90"/>
      <c r="M4" s="90"/>
      <c r="N4" s="90"/>
      <c r="O4" s="90"/>
      <c r="P4" s="90"/>
      <c r="Q4" s="90"/>
      <c r="R4" s="87"/>
    </row>
    <row r="5" spans="3:18" ht="12">
      <c r="C5" s="90" t="s">
        <v>163</v>
      </c>
      <c r="D5" s="90"/>
      <c r="E5" s="90"/>
      <c r="F5" s="90"/>
      <c r="G5" s="262"/>
      <c r="H5" s="90"/>
      <c r="I5" s="262"/>
      <c r="J5" s="90"/>
      <c r="K5" s="90"/>
      <c r="L5" s="90"/>
      <c r="M5" s="90"/>
      <c r="N5" s="90"/>
      <c r="O5" s="90"/>
      <c r="P5" s="90"/>
      <c r="Q5" s="90"/>
      <c r="R5" s="87"/>
    </row>
    <row r="6" spans="3:18" ht="10.5" customHeight="1">
      <c r="C6" s="506"/>
      <c r="D6" s="2"/>
      <c r="E6" s="2" t="s">
        <v>155</v>
      </c>
      <c r="F6" s="2"/>
      <c r="G6" s="255" t="s">
        <v>155</v>
      </c>
      <c r="H6" s="2"/>
      <c r="I6" s="255"/>
      <c r="J6" s="2"/>
      <c r="K6" s="2"/>
      <c r="L6" s="2"/>
      <c r="M6" s="2"/>
      <c r="N6" s="2"/>
      <c r="O6" s="2"/>
      <c r="P6" s="2"/>
      <c r="Q6" s="2"/>
      <c r="R6" s="2"/>
    </row>
    <row r="7" spans="3:17" ht="10.5" customHeight="1">
      <c r="C7" s="43"/>
      <c r="D7" s="43"/>
      <c r="E7" s="44" t="s">
        <v>91</v>
      </c>
      <c r="F7" s="44"/>
      <c r="G7" s="453" t="s">
        <v>92</v>
      </c>
      <c r="H7" s="44"/>
      <c r="I7" s="453" t="s">
        <v>93</v>
      </c>
      <c r="J7" s="44"/>
      <c r="K7" s="44" t="s">
        <v>84</v>
      </c>
      <c r="L7" s="44"/>
      <c r="M7" s="44" t="s">
        <v>96</v>
      </c>
      <c r="N7" s="44"/>
      <c r="O7" s="163" t="s">
        <v>342</v>
      </c>
      <c r="P7" s="44"/>
      <c r="Q7" s="44" t="s">
        <v>90</v>
      </c>
    </row>
    <row r="8" spans="4:18" ht="10.5" customHeight="1">
      <c r="D8" s="163"/>
      <c r="E8" s="163" t="s">
        <v>156</v>
      </c>
      <c r="F8" s="163"/>
      <c r="G8" s="454" t="s">
        <v>94</v>
      </c>
      <c r="H8" s="163"/>
      <c r="I8" s="454" t="s">
        <v>95</v>
      </c>
      <c r="J8" s="163"/>
      <c r="K8" s="163" t="s">
        <v>158</v>
      </c>
      <c r="L8" s="163"/>
      <c r="M8" s="163" t="s">
        <v>204</v>
      </c>
      <c r="N8" s="163"/>
      <c r="O8" s="163" t="s">
        <v>343</v>
      </c>
      <c r="P8" s="163"/>
      <c r="Q8" s="163" t="s">
        <v>96</v>
      </c>
      <c r="R8" s="163"/>
    </row>
    <row r="9" spans="3:18" ht="11.25">
      <c r="C9" s="375">
        <v>39263</v>
      </c>
      <c r="D9" s="64"/>
      <c r="E9" s="11"/>
      <c r="F9" s="11"/>
      <c r="G9" s="455"/>
      <c r="H9" s="25"/>
      <c r="I9" s="456"/>
      <c r="J9" s="11"/>
      <c r="K9" s="11"/>
      <c r="L9" s="11"/>
      <c r="M9" s="11"/>
      <c r="N9" s="11"/>
      <c r="O9" s="11"/>
      <c r="P9" s="11"/>
      <c r="Q9" s="11"/>
      <c r="R9" s="67"/>
    </row>
    <row r="10" spans="3:17" ht="11.25" customHeight="1">
      <c r="C10" s="1" t="s">
        <v>124</v>
      </c>
      <c r="E10" s="37">
        <f>'Segment  2007 Qtr'!E10+2269</f>
        <v>4858</v>
      </c>
      <c r="F10" s="560"/>
      <c r="G10" s="37">
        <f>+'Segment  2007 Qtr'!G10+1659</f>
        <v>3280</v>
      </c>
      <c r="H10" s="560"/>
      <c r="I10" s="37">
        <f>+'Segment  2007 Qtr'!I10+478</f>
        <v>813</v>
      </c>
      <c r="J10" s="560"/>
      <c r="K10" s="58">
        <f>+'Segment  2007 Qtr'!K10</f>
        <v>0</v>
      </c>
      <c r="L10" s="565"/>
      <c r="M10" s="37">
        <f aca="true" t="shared" si="0" ref="M10:M16">(E10+G10+I10+K10)</f>
        <v>8951</v>
      </c>
      <c r="N10" s="560"/>
      <c r="O10" s="37">
        <f>+'Segment  2007 Qtr'!O10+90</f>
        <v>182</v>
      </c>
      <c r="P10" s="560"/>
      <c r="Q10" s="59">
        <f aca="true" t="shared" si="1" ref="Q10:Q16">M10+O10</f>
        <v>9133</v>
      </c>
    </row>
    <row r="11" spans="3:17" ht="11.25" customHeight="1">
      <c r="C11" s="1" t="s">
        <v>125</v>
      </c>
      <c r="E11" s="46">
        <f>'Segment  2007 Qtr'!E11+1514</f>
        <v>3011</v>
      </c>
      <c r="F11" s="560"/>
      <c r="G11" s="46">
        <f>+'Segment  2007 Qtr'!G11+1192</f>
        <v>2358</v>
      </c>
      <c r="H11" s="560"/>
      <c r="I11" s="46">
        <f>+'Segment  2007 Qtr'!I11+476</f>
        <v>808</v>
      </c>
      <c r="J11" s="560"/>
      <c r="K11" s="46">
        <f>+'Segment  2007 Qtr'!K11</f>
        <v>0</v>
      </c>
      <c r="L11" s="565"/>
      <c r="M11" s="168">
        <f t="shared" si="0"/>
        <v>6177</v>
      </c>
      <c r="N11" s="560"/>
      <c r="O11" s="46">
        <f>+'Segment  2007 Qtr'!O11+88</f>
        <v>175</v>
      </c>
      <c r="P11" s="560"/>
      <c r="Q11" s="169">
        <f t="shared" si="1"/>
        <v>6352</v>
      </c>
    </row>
    <row r="12" spans="3:17" ht="11.25" customHeight="1">
      <c r="C12" s="1" t="s">
        <v>126</v>
      </c>
      <c r="E12" s="46">
        <f>'Segment  2007 Qtr'!E12+1539</f>
        <v>2994</v>
      </c>
      <c r="F12" s="560"/>
      <c r="G12" s="46">
        <f>+'Segment  2007 Qtr'!G12+1112</f>
        <v>2253</v>
      </c>
      <c r="H12" s="560"/>
      <c r="I12" s="46">
        <f>+'Segment  2007 Qtr'!I12+343</f>
        <v>668</v>
      </c>
      <c r="J12" s="560"/>
      <c r="K12" s="46">
        <f>+'Segment  2007 Qtr'!K12</f>
        <v>0</v>
      </c>
      <c r="L12" s="565"/>
      <c r="M12" s="168">
        <f t="shared" si="0"/>
        <v>5915</v>
      </c>
      <c r="N12" s="560"/>
      <c r="O12" s="46">
        <f>+'Segment  2007 Qtr'!O12+88</f>
        <v>175</v>
      </c>
      <c r="P12" s="560"/>
      <c r="Q12" s="169">
        <f t="shared" si="1"/>
        <v>6090</v>
      </c>
    </row>
    <row r="13" spans="3:17" ht="11.25" customHeight="1">
      <c r="C13" s="1" t="s">
        <v>119</v>
      </c>
      <c r="E13" s="46">
        <f>'Segment  2007 Qtr'!E13+1111</f>
        <v>2127</v>
      </c>
      <c r="F13" s="560"/>
      <c r="G13" s="46">
        <f>+'Segment  2007 Qtr'!G13+564</f>
        <v>1178</v>
      </c>
      <c r="H13" s="560"/>
      <c r="I13" s="46">
        <f>+'Segment  2007 Qtr'!I13+185</f>
        <v>348</v>
      </c>
      <c r="J13" s="560"/>
      <c r="K13" s="46">
        <f>+'Segment  2007 Qtr'!K13</f>
        <v>0</v>
      </c>
      <c r="L13" s="565"/>
      <c r="M13" s="168">
        <f t="shared" si="0"/>
        <v>3653</v>
      </c>
      <c r="N13" s="560"/>
      <c r="O13" s="46">
        <f>+'Segment  2007 Qtr'!O13</f>
        <v>0</v>
      </c>
      <c r="P13" s="560"/>
      <c r="Q13" s="169">
        <f t="shared" si="1"/>
        <v>3653</v>
      </c>
    </row>
    <row r="14" spans="3:17" ht="11.25" customHeight="1">
      <c r="C14" s="15" t="s">
        <v>118</v>
      </c>
      <c r="E14" s="46">
        <f>+'Segment  2007 Qtr'!E14</f>
        <v>0</v>
      </c>
      <c r="F14" s="560"/>
      <c r="G14" s="46">
        <f>+'Segment  2007 Qtr'!G14</f>
        <v>0</v>
      </c>
      <c r="H14" s="560"/>
      <c r="I14" s="46">
        <f>+'Segment  2007 Qtr'!I14</f>
        <v>0</v>
      </c>
      <c r="J14" s="560"/>
      <c r="K14" s="46">
        <f>+'Segment  2007 Qtr'!K14</f>
        <v>0</v>
      </c>
      <c r="L14" s="565"/>
      <c r="M14" s="168">
        <f t="shared" si="0"/>
        <v>0</v>
      </c>
      <c r="N14" s="560"/>
      <c r="O14" s="46">
        <f>+'Segment  2007 Qtr'!O14+36</f>
        <v>69</v>
      </c>
      <c r="P14" s="560"/>
      <c r="Q14" s="169">
        <f t="shared" si="1"/>
        <v>69</v>
      </c>
    </row>
    <row r="15" spans="3:17" ht="11.25" customHeight="1">
      <c r="C15" s="1" t="s">
        <v>129</v>
      </c>
      <c r="E15" s="46">
        <f>+'Segment  2007 Qtr'!E15+116</f>
        <v>244</v>
      </c>
      <c r="F15" s="560"/>
      <c r="G15" s="46">
        <f>+'Segment  2007 Qtr'!G15+224</f>
        <v>454</v>
      </c>
      <c r="H15" s="560"/>
      <c r="I15" s="46">
        <f>+'Segment  2007 Qtr'!I15+66</f>
        <v>130</v>
      </c>
      <c r="J15" s="560"/>
      <c r="K15" s="46">
        <f>+'Segment  2007 Qtr'!K15</f>
        <v>0</v>
      </c>
      <c r="L15" s="565"/>
      <c r="M15" s="168">
        <f t="shared" si="0"/>
        <v>828</v>
      </c>
      <c r="N15" s="560"/>
      <c r="O15" s="46">
        <f>+'Segment  2007 Qtr'!O15+11</f>
        <v>23</v>
      </c>
      <c r="P15" s="560"/>
      <c r="Q15" s="169">
        <f t="shared" si="1"/>
        <v>851</v>
      </c>
    </row>
    <row r="16" spans="3:17" ht="11.25" customHeight="1">
      <c r="C16" s="1" t="s">
        <v>127</v>
      </c>
      <c r="E16" s="46">
        <f>+'Segment  2007 Qtr'!E16+133</f>
        <v>263</v>
      </c>
      <c r="F16" s="46"/>
      <c r="G16" s="46">
        <f>+'Segment  2007 Qtr'!G16+162</f>
        <v>324</v>
      </c>
      <c r="H16" s="46"/>
      <c r="I16" s="46">
        <f>+'Segment  2007 Qtr'!I16+17</f>
        <v>33</v>
      </c>
      <c r="J16" s="46"/>
      <c r="K16" s="46">
        <f>+'Segment  2007 Qtr'!K16+32</f>
        <v>68</v>
      </c>
      <c r="L16" s="565"/>
      <c r="M16" s="168">
        <f t="shared" si="0"/>
        <v>688</v>
      </c>
      <c r="N16" s="46"/>
      <c r="O16" s="46">
        <f>+'Segment  2007 Qtr'!O16+12</f>
        <v>24</v>
      </c>
      <c r="P16" s="46"/>
      <c r="Q16" s="169">
        <f t="shared" si="1"/>
        <v>712</v>
      </c>
    </row>
    <row r="17" spans="3:17" ht="11.25" customHeight="1">
      <c r="C17" s="1" t="s">
        <v>57</v>
      </c>
      <c r="E17" s="259">
        <f>E12-E13-E14-E15-E16</f>
        <v>360</v>
      </c>
      <c r="F17" s="561"/>
      <c r="G17" s="259">
        <f>G12-G13-G14-G15-G16</f>
        <v>297</v>
      </c>
      <c r="H17" s="561"/>
      <c r="I17" s="259">
        <f>I12-I13-I14-I15-I16</f>
        <v>157</v>
      </c>
      <c r="J17" s="561"/>
      <c r="K17" s="259">
        <f>K12-K13-K14-K15-K16</f>
        <v>-68</v>
      </c>
      <c r="L17" s="569"/>
      <c r="M17" s="259">
        <f>M12-M13-M14-M15-M16</f>
        <v>746</v>
      </c>
      <c r="N17" s="561"/>
      <c r="O17" s="259">
        <f>O12-O13-O14-O15-O16</f>
        <v>59</v>
      </c>
      <c r="P17" s="561"/>
      <c r="Q17" s="259">
        <f>Q12-Q13-Q14-Q15-Q16</f>
        <v>805</v>
      </c>
    </row>
    <row r="18" spans="5:17" ht="6.75" customHeight="1">
      <c r="E18" s="47"/>
      <c r="F18" s="47"/>
      <c r="G18" s="47"/>
      <c r="H18" s="47"/>
      <c r="I18" s="47"/>
      <c r="J18" s="47"/>
      <c r="K18" s="47"/>
      <c r="L18" s="47"/>
      <c r="M18" s="47"/>
      <c r="N18" s="47"/>
      <c r="O18" s="47"/>
      <c r="P18" s="47"/>
      <c r="Q18" s="47"/>
    </row>
    <row r="19" spans="3:17" ht="11.25" customHeight="1">
      <c r="C19" s="1" t="s">
        <v>121</v>
      </c>
      <c r="E19" s="46">
        <f>+'Segment  2007 Qtr'!E19+241</f>
        <v>498</v>
      </c>
      <c r="F19" s="560"/>
      <c r="G19" s="46">
        <f>+'Segment  2007 Qtr'!G19+104</f>
        <v>215</v>
      </c>
      <c r="H19" s="560"/>
      <c r="I19" s="46">
        <f>+'Segment  2007 Qtr'!I19+66</f>
        <v>132</v>
      </c>
      <c r="J19" s="560"/>
      <c r="K19" s="46">
        <f>+'Segment  2007 Qtr'!K19+28</f>
        <v>51</v>
      </c>
      <c r="L19" s="565"/>
      <c r="M19" s="168">
        <f>(E19+G19+I19+K19)</f>
        <v>896</v>
      </c>
      <c r="N19" s="560"/>
      <c r="O19" s="46">
        <f>+'Segment  2007 Qtr'!O19+12</f>
        <v>26</v>
      </c>
      <c r="P19" s="560"/>
      <c r="Q19" s="169">
        <f>M19+O19</f>
        <v>922</v>
      </c>
    </row>
    <row r="20" spans="3:19" ht="11.25" customHeight="1">
      <c r="C20" s="172" t="s">
        <v>166</v>
      </c>
      <c r="D20" s="172"/>
      <c r="E20" s="211">
        <f>+'Segment  2007 Qtr'!E20+37</f>
        <v>52</v>
      </c>
      <c r="F20" s="560"/>
      <c r="G20" s="211">
        <f>+'Segment  2007 Qtr'!G20-26</f>
        <v>-53</v>
      </c>
      <c r="H20" s="560"/>
      <c r="I20" s="211">
        <f>+'Segment  2007 Qtr'!I20+6</f>
        <v>-1</v>
      </c>
      <c r="J20" s="560"/>
      <c r="K20" s="211">
        <f>+'Segment  2007 Qtr'!K20+3</f>
        <v>12</v>
      </c>
      <c r="L20" s="565"/>
      <c r="M20" s="168">
        <f>(E20+G20+I20+K20)</f>
        <v>10</v>
      </c>
      <c r="N20" s="560"/>
      <c r="O20" s="211">
        <f>+'Segment  2007 Qtr'!O20+-4</f>
        <v>-5</v>
      </c>
      <c r="P20" s="560"/>
      <c r="Q20" s="169">
        <f>M20+O20</f>
        <v>5</v>
      </c>
      <c r="R20" s="172"/>
      <c r="S20" s="172"/>
    </row>
    <row r="21" spans="3:20" ht="11.25" customHeight="1">
      <c r="C21" s="1" t="s">
        <v>139</v>
      </c>
      <c r="E21" s="46">
        <f>+'Segment  2007 Qtr'!E21</f>
        <v>0</v>
      </c>
      <c r="F21" s="560"/>
      <c r="G21" s="46">
        <f>+'Segment  2007 Qtr'!G21</f>
        <v>0</v>
      </c>
      <c r="H21" s="560"/>
      <c r="I21" s="46">
        <f>+'Segment  2007 Qtr'!I21</f>
        <v>0</v>
      </c>
      <c r="J21" s="560"/>
      <c r="K21" s="46">
        <f>+'Segment  2007 Qtr'!K21+46</f>
        <v>88</v>
      </c>
      <c r="L21" s="565"/>
      <c r="M21" s="168">
        <f>(E21+G21+I21+K21)</f>
        <v>88</v>
      </c>
      <c r="N21" s="560"/>
      <c r="O21" s="46">
        <f>+'Segment  2007 Qtr'!O21</f>
        <v>0</v>
      </c>
      <c r="P21" s="560"/>
      <c r="Q21" s="169">
        <f>M21+O21</f>
        <v>88</v>
      </c>
      <c r="S21" s="42"/>
      <c r="T21" s="263"/>
    </row>
    <row r="22" spans="3:17" ht="11.25" customHeight="1">
      <c r="C22" s="1" t="s">
        <v>246</v>
      </c>
      <c r="D22" s="42"/>
      <c r="E22" s="46">
        <f>+'Segment  2007 Qtr'!E22+9</f>
        <v>10</v>
      </c>
      <c r="F22" s="560"/>
      <c r="G22" s="46">
        <f>+'Segment  2007 Qtr'!G22+3</f>
        <v>4</v>
      </c>
      <c r="H22" s="560"/>
      <c r="I22" s="46">
        <f>+'Segment  2007 Qtr'!I22+1</f>
        <v>3</v>
      </c>
      <c r="J22" s="560"/>
      <c r="K22" s="46">
        <f>+'Segment  2007 Qtr'!K22+-9</f>
        <v>-17</v>
      </c>
      <c r="L22" s="565"/>
      <c r="M22" s="168">
        <f>(E22+G22+I22+K22)</f>
        <v>0</v>
      </c>
      <c r="N22" s="560"/>
      <c r="O22" s="46">
        <f>+'Segment  2007 Qtr'!O22</f>
        <v>0</v>
      </c>
      <c r="P22" s="560"/>
      <c r="Q22" s="169">
        <f>M22+O22</f>
        <v>0</v>
      </c>
    </row>
    <row r="23" spans="3:17" ht="11.25" customHeight="1">
      <c r="C23" s="1" t="s">
        <v>151</v>
      </c>
      <c r="E23" s="46">
        <f>+'Segment  2007 Qtr'!E23+128</f>
        <v>243</v>
      </c>
      <c r="F23" s="46"/>
      <c r="G23" s="46">
        <f>+'Segment  2007 Qtr'!G23+40</f>
        <v>98</v>
      </c>
      <c r="H23" s="46"/>
      <c r="I23" s="46">
        <f>+'Segment  2007 Qtr'!I23+7</f>
        <v>14</v>
      </c>
      <c r="J23" s="46"/>
      <c r="K23" s="46">
        <f>+'Segment  2007 Qtr'!K23+-44</f>
        <v>-60</v>
      </c>
      <c r="L23" s="566"/>
      <c r="M23" s="168">
        <f>(E23+G23+I23+K23)</f>
        <v>295</v>
      </c>
      <c r="N23" s="46"/>
      <c r="O23" s="46">
        <f>+'Segment  2007 Qtr'!O23+-2</f>
        <v>-1</v>
      </c>
      <c r="P23" s="46"/>
      <c r="Q23" s="169">
        <f>M23+O23</f>
        <v>294</v>
      </c>
    </row>
    <row r="24" spans="3:19" ht="11.25" customHeight="1">
      <c r="C24" s="172" t="s">
        <v>58</v>
      </c>
      <c r="D24" s="201"/>
      <c r="E24" s="260">
        <f>+E17+E19-E22-E21-E23+E20</f>
        <v>657</v>
      </c>
      <c r="F24" s="561"/>
      <c r="G24" s="260">
        <f>+G17+G19-G22-G21-G23+G20</f>
        <v>357</v>
      </c>
      <c r="H24" s="561"/>
      <c r="I24" s="260">
        <f>+I17+I19-I22-I21-I23+I20</f>
        <v>271</v>
      </c>
      <c r="J24" s="561"/>
      <c r="K24" s="260">
        <f>+K17+K19-K22-K21-K23+K20</f>
        <v>-16</v>
      </c>
      <c r="L24" s="567"/>
      <c r="M24" s="260">
        <f>+M17+M19-M22-M21-M23+M20</f>
        <v>1269</v>
      </c>
      <c r="N24" s="561"/>
      <c r="O24" s="260">
        <f>+O17+O19-O22-O21-O23+O20</f>
        <v>81</v>
      </c>
      <c r="P24" s="561"/>
      <c r="Q24" s="260">
        <f>+Q17+Q19-Q22-Q21-Q23+Q20</f>
        <v>1350</v>
      </c>
      <c r="R24" s="172"/>
      <c r="S24" s="172"/>
    </row>
    <row r="25" spans="3:19" ht="5.25" customHeight="1">
      <c r="C25" s="201"/>
      <c r="D25" s="201"/>
      <c r="E25" s="213"/>
      <c r="F25" s="562"/>
      <c r="G25" s="213"/>
      <c r="H25" s="562"/>
      <c r="I25" s="213"/>
      <c r="J25" s="562"/>
      <c r="K25" s="213"/>
      <c r="L25" s="566"/>
      <c r="M25" s="213"/>
      <c r="N25" s="562"/>
      <c r="O25" s="213"/>
      <c r="P25" s="562"/>
      <c r="Q25" s="213"/>
      <c r="R25" s="172"/>
      <c r="S25" s="172"/>
    </row>
    <row r="26" spans="3:19" ht="11.25" customHeight="1">
      <c r="C26" s="172" t="s">
        <v>166</v>
      </c>
      <c r="D26" s="172"/>
      <c r="E26" s="211">
        <f>+E20</f>
        <v>52</v>
      </c>
      <c r="F26" s="560"/>
      <c r="G26" s="211">
        <f>+G20</f>
        <v>-53</v>
      </c>
      <c r="H26" s="560"/>
      <c r="I26" s="211">
        <f>+I20</f>
        <v>-1</v>
      </c>
      <c r="J26" s="560"/>
      <c r="K26" s="211">
        <f>+K20</f>
        <v>12</v>
      </c>
      <c r="L26" s="565"/>
      <c r="M26" s="211">
        <f>(E26+G26+I26+K26)</f>
        <v>10</v>
      </c>
      <c r="N26" s="560"/>
      <c r="O26" s="211">
        <f>+O20</f>
        <v>-5</v>
      </c>
      <c r="P26" s="560"/>
      <c r="Q26" s="211">
        <f>M26+O26</f>
        <v>5</v>
      </c>
      <c r="R26" s="172"/>
      <c r="S26" s="172"/>
    </row>
    <row r="27" spans="3:19" ht="11.25" customHeight="1">
      <c r="C27" s="173" t="s">
        <v>247</v>
      </c>
      <c r="D27" s="173"/>
      <c r="E27" s="211">
        <f>+'Segment  2007 Qtr'!E27+15</f>
        <v>23</v>
      </c>
      <c r="F27" s="563"/>
      <c r="G27" s="211">
        <f>+'Segment  2007 Qtr'!G27+-8</f>
        <v>-12</v>
      </c>
      <c r="H27" s="563"/>
      <c r="I27" s="211">
        <f>+'Segment  2007 Qtr'!I27+-1</f>
        <v>-1</v>
      </c>
      <c r="J27" s="563"/>
      <c r="K27" s="211">
        <f>+'Segment  2007 Qtr'!K27+-28</f>
        <v>-28</v>
      </c>
      <c r="L27" s="566"/>
      <c r="M27" s="169">
        <f>(E27+G27+I27+K27)</f>
        <v>-18</v>
      </c>
      <c r="N27" s="563"/>
      <c r="O27" s="211">
        <f>+'Segment  2007 Qtr'!O27</f>
        <v>0</v>
      </c>
      <c r="P27" s="563"/>
      <c r="Q27" s="169">
        <f>M27+O27</f>
        <v>-18</v>
      </c>
      <c r="R27" s="172"/>
      <c r="S27" s="172"/>
    </row>
    <row r="28" spans="3:19" ht="13.5" customHeight="1" thickBot="1">
      <c r="C28" s="173" t="s">
        <v>249</v>
      </c>
      <c r="D28" s="172"/>
      <c r="E28" s="212">
        <f>E24-E26+E27</f>
        <v>628</v>
      </c>
      <c r="F28" s="564"/>
      <c r="G28" s="212">
        <f>G24-G26+G27</f>
        <v>398</v>
      </c>
      <c r="H28" s="564"/>
      <c r="I28" s="212">
        <f>I24-I26+I27</f>
        <v>271</v>
      </c>
      <c r="J28" s="564"/>
      <c r="K28" s="212">
        <f>K24-K26+K27</f>
        <v>-56</v>
      </c>
      <c r="L28" s="568"/>
      <c r="M28" s="212">
        <f>M24-M26+M27</f>
        <v>1241</v>
      </c>
      <c r="N28" s="564"/>
      <c r="O28" s="212">
        <f>O24-O26+O27</f>
        <v>86</v>
      </c>
      <c r="P28" s="564"/>
      <c r="Q28" s="212">
        <f>Q24-Q26+Q27</f>
        <v>1327</v>
      </c>
      <c r="R28" s="172"/>
      <c r="S28" s="172"/>
    </row>
    <row r="29" spans="3:18" ht="7.5" customHeight="1" thickTop="1">
      <c r="C29" s="172"/>
      <c r="D29" s="172"/>
      <c r="E29" s="214"/>
      <c r="F29" s="214"/>
      <c r="G29" s="213"/>
      <c r="H29" s="213"/>
      <c r="I29" s="214"/>
      <c r="J29" s="214"/>
      <c r="K29" s="214"/>
      <c r="L29" s="214"/>
      <c r="M29" s="214"/>
      <c r="N29" s="214"/>
      <c r="O29" s="214"/>
      <c r="P29" s="214"/>
      <c r="Q29" s="214"/>
      <c r="R29" s="172"/>
    </row>
    <row r="30" spans="3:18" ht="11.25">
      <c r="C30" s="375">
        <v>38898</v>
      </c>
      <c r="D30" s="65"/>
      <c r="E30" s="85"/>
      <c r="F30" s="85"/>
      <c r="G30" s="367"/>
      <c r="H30" s="367"/>
      <c r="I30" s="85"/>
      <c r="J30" s="85"/>
      <c r="K30" s="85"/>
      <c r="L30" s="85"/>
      <c r="M30" s="85"/>
      <c r="N30" s="85"/>
      <c r="O30" s="85"/>
      <c r="P30" s="85"/>
      <c r="Q30" s="85"/>
      <c r="R30" s="7"/>
    </row>
    <row r="31" spans="3:17" ht="11.25" customHeight="1">
      <c r="C31" s="1" t="s">
        <v>124</v>
      </c>
      <c r="E31" s="45">
        <v>4877</v>
      </c>
      <c r="F31" s="45"/>
      <c r="G31" s="45">
        <v>3069</v>
      </c>
      <c r="H31" s="515"/>
      <c r="I31" s="45">
        <v>1021</v>
      </c>
      <c r="J31" s="516"/>
      <c r="K31" s="58">
        <v>0</v>
      </c>
      <c r="L31" s="37"/>
      <c r="M31" s="37">
        <f>E31+G31+I31+K31</f>
        <v>8967</v>
      </c>
      <c r="N31" s="37"/>
      <c r="O31" s="45">
        <v>127</v>
      </c>
      <c r="P31" s="37"/>
      <c r="Q31" s="59">
        <f aca="true" t="shared" si="2" ref="Q31:Q37">M31+O31</f>
        <v>9094</v>
      </c>
    </row>
    <row r="32" spans="3:17" ht="11.25" customHeight="1">
      <c r="C32" s="1" t="s">
        <v>125</v>
      </c>
      <c r="E32" s="46">
        <v>3005</v>
      </c>
      <c r="F32" s="46"/>
      <c r="G32" s="46">
        <v>2229</v>
      </c>
      <c r="H32" s="514"/>
      <c r="I32" s="46">
        <v>1015</v>
      </c>
      <c r="J32" s="514"/>
      <c r="K32" s="46">
        <v>0</v>
      </c>
      <c r="L32" s="46"/>
      <c r="M32" s="168">
        <f>(E32+G32+I32+K32)</f>
        <v>6249</v>
      </c>
      <c r="N32" s="46"/>
      <c r="O32" s="46">
        <v>127</v>
      </c>
      <c r="P32" s="46"/>
      <c r="Q32" s="169">
        <f t="shared" si="2"/>
        <v>6376</v>
      </c>
    </row>
    <row r="33" spans="3:17" ht="11.25" customHeight="1">
      <c r="C33" s="1" t="s">
        <v>126</v>
      </c>
      <c r="E33" s="46">
        <v>2701</v>
      </c>
      <c r="F33" s="46"/>
      <c r="G33" s="46">
        <v>2125</v>
      </c>
      <c r="H33" s="514"/>
      <c r="I33" s="46">
        <v>758</v>
      </c>
      <c r="J33" s="514"/>
      <c r="K33" s="46">
        <v>0</v>
      </c>
      <c r="L33" s="46"/>
      <c r="M33" s="168">
        <f>(E33+G33+I33+K33)</f>
        <v>5584</v>
      </c>
      <c r="N33" s="46"/>
      <c r="O33" s="46">
        <v>127</v>
      </c>
      <c r="P33" s="46"/>
      <c r="Q33" s="169">
        <f t="shared" si="2"/>
        <v>5711</v>
      </c>
    </row>
    <row r="34" spans="3:17" ht="11.25" customHeight="1">
      <c r="C34" s="1" t="s">
        <v>119</v>
      </c>
      <c r="E34" s="46">
        <v>1882</v>
      </c>
      <c r="F34" s="46"/>
      <c r="G34" s="46">
        <v>1151</v>
      </c>
      <c r="H34" s="514"/>
      <c r="I34" s="46">
        <v>394</v>
      </c>
      <c r="J34" s="514"/>
      <c r="K34" s="46">
        <v>1</v>
      </c>
      <c r="L34" s="46"/>
      <c r="M34" s="168">
        <f>(E34+G34+I34+K34)</f>
        <v>3428</v>
      </c>
      <c r="N34" s="46"/>
      <c r="O34" s="46">
        <v>0</v>
      </c>
      <c r="P34" s="46"/>
      <c r="Q34" s="169">
        <f t="shared" si="2"/>
        <v>3428</v>
      </c>
    </row>
    <row r="35" spans="3:17" ht="11.25" customHeight="1">
      <c r="C35" s="15" t="s">
        <v>118</v>
      </c>
      <c r="E35" s="53">
        <v>0</v>
      </c>
      <c r="F35" s="46"/>
      <c r="G35" s="53">
        <v>0</v>
      </c>
      <c r="H35" s="514"/>
      <c r="I35" s="53">
        <v>0</v>
      </c>
      <c r="J35" s="514"/>
      <c r="K35" s="53">
        <v>0</v>
      </c>
      <c r="L35" s="46"/>
      <c r="M35" s="168">
        <f>(E35+G35+I35+K35)</f>
        <v>0</v>
      </c>
      <c r="N35" s="46"/>
      <c r="O35" s="53">
        <v>62</v>
      </c>
      <c r="P35" s="46"/>
      <c r="Q35" s="169">
        <f t="shared" si="2"/>
        <v>62</v>
      </c>
    </row>
    <row r="36" spans="3:17" ht="11.25" customHeight="1">
      <c r="C36" s="1" t="s">
        <v>129</v>
      </c>
      <c r="E36" s="46">
        <v>266</v>
      </c>
      <c r="F36" s="46"/>
      <c r="G36" s="46">
        <v>413</v>
      </c>
      <c r="H36" s="514"/>
      <c r="I36" s="46">
        <v>156</v>
      </c>
      <c r="J36" s="514"/>
      <c r="K36" s="46">
        <v>0</v>
      </c>
      <c r="L36" s="46"/>
      <c r="M36" s="168">
        <f>(E36+G36+I36+K36)</f>
        <v>835</v>
      </c>
      <c r="N36" s="46"/>
      <c r="O36" s="46">
        <v>10</v>
      </c>
      <c r="P36" s="46"/>
      <c r="Q36" s="169">
        <f t="shared" si="2"/>
        <v>845</v>
      </c>
    </row>
    <row r="37" spans="3:17" ht="11.25" customHeight="1">
      <c r="C37" s="1" t="s">
        <v>127</v>
      </c>
      <c r="E37" s="46">
        <v>241</v>
      </c>
      <c r="F37" s="46"/>
      <c r="G37" s="46">
        <v>297</v>
      </c>
      <c r="H37" s="514"/>
      <c r="I37" s="46">
        <v>32</v>
      </c>
      <c r="J37" s="514"/>
      <c r="K37" s="46">
        <v>153</v>
      </c>
      <c r="L37" s="46"/>
      <c r="M37" s="168">
        <f>E37+G37+I37+K37</f>
        <v>723</v>
      </c>
      <c r="N37" s="46"/>
      <c r="O37" s="46">
        <v>15</v>
      </c>
      <c r="P37" s="46"/>
      <c r="Q37" s="169">
        <f t="shared" si="2"/>
        <v>738</v>
      </c>
    </row>
    <row r="38" spans="3:17" ht="11.25" customHeight="1">
      <c r="C38" s="1" t="s">
        <v>57</v>
      </c>
      <c r="E38" s="259">
        <f>E33-E34-E35-E36-E37</f>
        <v>312</v>
      </c>
      <c r="F38" s="259"/>
      <c r="G38" s="259">
        <f>G33-G34-G35-G36-G37</f>
        <v>264</v>
      </c>
      <c r="H38" s="259"/>
      <c r="I38" s="259">
        <f>I33-I34-I35-I36-I37</f>
        <v>176</v>
      </c>
      <c r="J38" s="259"/>
      <c r="K38" s="259">
        <f>K33-K34-K35-K36-K37</f>
        <v>-154</v>
      </c>
      <c r="L38" s="259"/>
      <c r="M38" s="259">
        <f>M33-M34-M35-M36-M37</f>
        <v>598</v>
      </c>
      <c r="N38" s="259"/>
      <c r="O38" s="259">
        <f>O33-O34-O35-O36-O37</f>
        <v>40</v>
      </c>
      <c r="P38" s="259"/>
      <c r="Q38" s="259">
        <f>Q33-Q34-Q35-Q36-Q37</f>
        <v>638</v>
      </c>
    </row>
    <row r="39" spans="5:17" ht="6" customHeight="1">
      <c r="E39" s="47"/>
      <c r="F39" s="47"/>
      <c r="G39" s="48"/>
      <c r="H39" s="48"/>
      <c r="I39" s="47"/>
      <c r="J39" s="47"/>
      <c r="K39" s="47"/>
      <c r="L39" s="47"/>
      <c r="M39" s="47"/>
      <c r="N39" s="47"/>
      <c r="O39" s="47"/>
      <c r="P39" s="47"/>
      <c r="Q39" s="47"/>
    </row>
    <row r="40" spans="3:17" ht="11.25" customHeight="1">
      <c r="C40" s="1" t="s">
        <v>121</v>
      </c>
      <c r="E40" s="46">
        <v>415</v>
      </c>
      <c r="F40" s="46"/>
      <c r="G40" s="46">
        <v>176</v>
      </c>
      <c r="H40" s="46"/>
      <c r="I40" s="46">
        <v>103</v>
      </c>
      <c r="J40" s="46"/>
      <c r="K40" s="46">
        <v>46</v>
      </c>
      <c r="L40" s="46"/>
      <c r="M40" s="168">
        <f>(E40+G40+I40+K40)</f>
        <v>740</v>
      </c>
      <c r="N40" s="46"/>
      <c r="O40" s="168">
        <v>19</v>
      </c>
      <c r="P40" s="46"/>
      <c r="Q40" s="169">
        <f>M40+O40</f>
        <v>759</v>
      </c>
    </row>
    <row r="41" spans="3:19" ht="11.25" customHeight="1">
      <c r="C41" s="172" t="s">
        <v>166</v>
      </c>
      <c r="D41" s="172"/>
      <c r="E41" s="211">
        <v>-38</v>
      </c>
      <c r="F41" s="211"/>
      <c r="G41" s="211">
        <v>8</v>
      </c>
      <c r="H41" s="211"/>
      <c r="I41" s="211">
        <v>-9</v>
      </c>
      <c r="J41" s="211"/>
      <c r="K41" s="211">
        <v>48</v>
      </c>
      <c r="L41" s="211"/>
      <c r="M41" s="168">
        <f>(E41+G41+I41+K41)</f>
        <v>9</v>
      </c>
      <c r="N41" s="211"/>
      <c r="O41" s="168">
        <v>-9</v>
      </c>
      <c r="P41" s="211"/>
      <c r="Q41" s="169">
        <f>M41+O41</f>
        <v>0</v>
      </c>
      <c r="R41" s="172"/>
      <c r="S41" s="172"/>
    </row>
    <row r="42" spans="3:17" ht="11.25" customHeight="1">
      <c r="C42" s="1" t="s">
        <v>139</v>
      </c>
      <c r="E42" s="46">
        <v>0</v>
      </c>
      <c r="F42" s="46"/>
      <c r="G42" s="46">
        <v>0</v>
      </c>
      <c r="H42" s="46"/>
      <c r="I42" s="46">
        <v>0</v>
      </c>
      <c r="J42" s="46"/>
      <c r="K42" s="46">
        <v>88</v>
      </c>
      <c r="L42" s="46"/>
      <c r="M42" s="168">
        <f>(E42+G42+I42+K42)</f>
        <v>88</v>
      </c>
      <c r="N42" s="46"/>
      <c r="O42" s="168">
        <v>0</v>
      </c>
      <c r="P42" s="46"/>
      <c r="Q42" s="169">
        <f>M42+O42</f>
        <v>88</v>
      </c>
    </row>
    <row r="43" spans="3:17" ht="11.25" customHeight="1">
      <c r="C43" s="1" t="s">
        <v>246</v>
      </c>
      <c r="E43" s="46">
        <v>0</v>
      </c>
      <c r="F43" s="46"/>
      <c r="G43" s="46">
        <v>6</v>
      </c>
      <c r="H43" s="46"/>
      <c r="I43" s="46">
        <v>5</v>
      </c>
      <c r="J43" s="46"/>
      <c r="K43" s="46">
        <v>-28</v>
      </c>
      <c r="L43" s="46"/>
      <c r="M43" s="168">
        <f>(E43+G43+I43+K43)</f>
        <v>-17</v>
      </c>
      <c r="N43" s="46"/>
      <c r="O43" s="168">
        <v>0</v>
      </c>
      <c r="P43" s="46"/>
      <c r="Q43" s="169">
        <f>M43+O43</f>
        <v>-17</v>
      </c>
    </row>
    <row r="44" spans="3:17" ht="11.25" customHeight="1">
      <c r="C44" s="1" t="s">
        <v>151</v>
      </c>
      <c r="E44" s="46">
        <v>189</v>
      </c>
      <c r="F44" s="46"/>
      <c r="G44" s="46">
        <v>100</v>
      </c>
      <c r="H44" s="46"/>
      <c r="I44" s="46">
        <v>20</v>
      </c>
      <c r="J44" s="46"/>
      <c r="K44" s="46">
        <v>-40</v>
      </c>
      <c r="L44" s="46"/>
      <c r="M44" s="168">
        <f>(E44+G44+I44+K44)</f>
        <v>269</v>
      </c>
      <c r="N44" s="46"/>
      <c r="O44" s="168">
        <v>-1</v>
      </c>
      <c r="P44" s="46"/>
      <c r="Q44" s="169">
        <f>M44+O44</f>
        <v>268</v>
      </c>
    </row>
    <row r="45" spans="3:17" ht="11.25" customHeight="1">
      <c r="C45" s="1" t="s">
        <v>383</v>
      </c>
      <c r="E45" s="46"/>
      <c r="F45" s="46"/>
      <c r="G45" s="46"/>
      <c r="H45" s="46"/>
      <c r="I45" s="46"/>
      <c r="J45" s="46"/>
      <c r="K45" s="46"/>
      <c r="L45" s="46"/>
      <c r="M45" s="168"/>
      <c r="N45" s="46"/>
      <c r="O45" s="168"/>
      <c r="P45" s="46"/>
      <c r="Q45" s="169"/>
    </row>
    <row r="46" spans="3:17" ht="11.25">
      <c r="C46" s="201" t="s">
        <v>384</v>
      </c>
      <c r="E46" s="46">
        <v>0</v>
      </c>
      <c r="F46" s="46"/>
      <c r="G46" s="46">
        <v>0</v>
      </c>
      <c r="H46" s="46"/>
      <c r="I46" s="46">
        <v>0</v>
      </c>
      <c r="J46" s="46"/>
      <c r="K46" s="46">
        <v>4</v>
      </c>
      <c r="L46" s="46"/>
      <c r="M46" s="168">
        <f>(E46+G46+I46+K46)</f>
        <v>4</v>
      </c>
      <c r="N46" s="46"/>
      <c r="O46" s="168">
        <v>0</v>
      </c>
      <c r="P46" s="46"/>
      <c r="Q46" s="169">
        <f>M46+O46</f>
        <v>4</v>
      </c>
    </row>
    <row r="47" spans="3:19" ht="11.25" customHeight="1">
      <c r="C47" s="172" t="s">
        <v>58</v>
      </c>
      <c r="D47" s="201"/>
      <c r="E47" s="260">
        <f>+E38+E40-E43-E42-E44+E41+E46</f>
        <v>500</v>
      </c>
      <c r="F47" s="260"/>
      <c r="G47" s="260">
        <f>+G38+G40-G43-G42-G44+G41+G46</f>
        <v>342</v>
      </c>
      <c r="H47" s="260"/>
      <c r="I47" s="260">
        <f>+I38+I40-I43-I42-I44+I41+I46</f>
        <v>245</v>
      </c>
      <c r="J47" s="260"/>
      <c r="K47" s="260">
        <f>+K38+K40-K43-K42-K44+K41+K46</f>
        <v>-76</v>
      </c>
      <c r="L47" s="260"/>
      <c r="M47" s="260">
        <f>+M38+M40-M43-M42-M44+M41+M46</f>
        <v>1011</v>
      </c>
      <c r="N47" s="260"/>
      <c r="O47" s="260">
        <f>+O38+O40-O43-O42-O44+O41+O46</f>
        <v>51</v>
      </c>
      <c r="P47" s="260"/>
      <c r="Q47" s="260">
        <f>+Q38+Q40-Q43-Q42-Q44+Q41+Q46</f>
        <v>1062</v>
      </c>
      <c r="R47" s="172"/>
      <c r="S47" s="172"/>
    </row>
    <row r="48" spans="3:19" ht="6" customHeight="1">
      <c r="C48" s="201"/>
      <c r="D48" s="201"/>
      <c r="E48" s="213"/>
      <c r="F48" s="213"/>
      <c r="G48" s="213"/>
      <c r="H48" s="213"/>
      <c r="I48" s="213"/>
      <c r="J48" s="213"/>
      <c r="K48" s="213"/>
      <c r="L48" s="213"/>
      <c r="M48" s="213"/>
      <c r="N48" s="213"/>
      <c r="O48" s="213"/>
      <c r="P48" s="213"/>
      <c r="Q48" s="213"/>
      <c r="R48" s="172"/>
      <c r="S48" s="172"/>
    </row>
    <row r="49" spans="3:19" ht="11.25" customHeight="1">
      <c r="C49" s="172" t="s">
        <v>166</v>
      </c>
      <c r="D49" s="172"/>
      <c r="E49" s="211">
        <v>-38</v>
      </c>
      <c r="F49" s="211"/>
      <c r="G49" s="211">
        <v>8</v>
      </c>
      <c r="H49" s="211"/>
      <c r="I49" s="211">
        <v>-9</v>
      </c>
      <c r="J49" s="211"/>
      <c r="K49" s="211">
        <v>48</v>
      </c>
      <c r="L49" s="211"/>
      <c r="M49" s="211">
        <f>(E49+G49+I49+K49)</f>
        <v>9</v>
      </c>
      <c r="N49" s="211"/>
      <c r="O49" s="211">
        <v>-9</v>
      </c>
      <c r="P49" s="211"/>
      <c r="Q49" s="211">
        <f>M49+O49</f>
        <v>0</v>
      </c>
      <c r="R49" s="172"/>
      <c r="S49" s="172"/>
    </row>
    <row r="50" spans="3:19" ht="11.25" customHeight="1">
      <c r="C50" s="173" t="s">
        <v>247</v>
      </c>
      <c r="D50" s="173"/>
      <c r="E50" s="53">
        <v>-7</v>
      </c>
      <c r="F50" s="211"/>
      <c r="G50" s="211">
        <v>7</v>
      </c>
      <c r="H50" s="211"/>
      <c r="I50" s="211">
        <v>-1</v>
      </c>
      <c r="J50" s="211"/>
      <c r="K50" s="211">
        <v>-1</v>
      </c>
      <c r="L50" s="211"/>
      <c r="M50" s="168">
        <f>(E50+G50+I50+K50)</f>
        <v>-2</v>
      </c>
      <c r="N50" s="211"/>
      <c r="O50" s="211">
        <v>0</v>
      </c>
      <c r="P50" s="211"/>
      <c r="Q50" s="169">
        <f>M50+O50</f>
        <v>-2</v>
      </c>
      <c r="R50" s="172"/>
      <c r="S50" s="172"/>
    </row>
    <row r="51" spans="3:19" ht="11.25" customHeight="1">
      <c r="C51" s="173" t="s">
        <v>385</v>
      </c>
      <c r="D51" s="173"/>
      <c r="E51" s="53"/>
      <c r="F51" s="211"/>
      <c r="G51" s="211"/>
      <c r="H51" s="211"/>
      <c r="I51" s="211"/>
      <c r="J51" s="211"/>
      <c r="K51" s="211"/>
      <c r="L51" s="211"/>
      <c r="M51" s="168"/>
      <c r="N51" s="211"/>
      <c r="O51" s="211"/>
      <c r="P51" s="211"/>
      <c r="Q51" s="169"/>
      <c r="R51" s="172"/>
      <c r="S51" s="172"/>
    </row>
    <row r="52" spans="3:19" ht="11.25">
      <c r="C52" s="201" t="s">
        <v>384</v>
      </c>
      <c r="D52" s="173"/>
      <c r="E52" s="53">
        <v>0</v>
      </c>
      <c r="F52" s="211"/>
      <c r="G52" s="211">
        <v>0</v>
      </c>
      <c r="H52" s="211"/>
      <c r="I52" s="211">
        <v>0</v>
      </c>
      <c r="J52" s="211"/>
      <c r="K52" s="211">
        <v>4</v>
      </c>
      <c r="L52" s="211"/>
      <c r="M52" s="168">
        <f>(E52+G52+I52+K52)</f>
        <v>4</v>
      </c>
      <c r="N52" s="211"/>
      <c r="O52" s="211">
        <v>0</v>
      </c>
      <c r="P52" s="211"/>
      <c r="Q52" s="169">
        <f>M52+O52</f>
        <v>4</v>
      </c>
      <c r="R52" s="172"/>
      <c r="S52" s="172"/>
    </row>
    <row r="53" spans="3:19" ht="13.5" customHeight="1" thickBot="1">
      <c r="C53" s="173" t="s">
        <v>249</v>
      </c>
      <c r="D53" s="172"/>
      <c r="E53" s="212">
        <f>E47-E49+E50-E52</f>
        <v>531</v>
      </c>
      <c r="F53" s="194"/>
      <c r="G53" s="212">
        <f>G47-G49+G50-G52</f>
        <v>341</v>
      </c>
      <c r="H53" s="212"/>
      <c r="I53" s="212">
        <f>I47-I49+I50-I52</f>
        <v>253</v>
      </c>
      <c r="J53" s="194"/>
      <c r="K53" s="212">
        <f>K47-K49+K50-K52</f>
        <v>-129</v>
      </c>
      <c r="L53" s="194"/>
      <c r="M53" s="212">
        <f>M47-M49+M50-M52</f>
        <v>996</v>
      </c>
      <c r="N53" s="194"/>
      <c r="O53" s="212">
        <f>O47-O49+O50-O52</f>
        <v>60</v>
      </c>
      <c r="P53" s="194"/>
      <c r="Q53" s="212">
        <f>Q47-Q49+Q50-Q52</f>
        <v>1056</v>
      </c>
      <c r="R53" s="172"/>
      <c r="S53" s="172"/>
    </row>
    <row r="54" spans="3:17" ht="11.25" customHeight="1" thickTop="1">
      <c r="C54" s="532" t="str">
        <f>+'Financial Highlights'!C49</f>
        <v>(1) See page 21 Non-GAAP Financial Measures.</v>
      </c>
      <c r="D54" s="42"/>
      <c r="E54" s="51"/>
      <c r="F54" s="50"/>
      <c r="G54" s="51"/>
      <c r="H54" s="51"/>
      <c r="I54" s="50"/>
      <c r="J54" s="50"/>
      <c r="K54" s="32"/>
      <c r="L54" s="32"/>
      <c r="M54" s="50"/>
      <c r="N54" s="50"/>
      <c r="O54" s="50"/>
      <c r="P54" s="50"/>
      <c r="Q54" s="50"/>
    </row>
    <row r="55" spans="5:17" ht="11.25">
      <c r="E55" s="368"/>
      <c r="F55" s="40"/>
      <c r="H55" s="368"/>
      <c r="J55" s="40"/>
      <c r="K55" s="40"/>
      <c r="L55" s="40"/>
      <c r="M55" s="40"/>
      <c r="N55" s="40"/>
      <c r="O55" s="40"/>
      <c r="P55" s="40"/>
      <c r="Q55" s="42"/>
    </row>
    <row r="56" spans="5:17" ht="11.25">
      <c r="E56" s="40"/>
      <c r="F56" s="40"/>
      <c r="H56" s="368"/>
      <c r="J56" s="40"/>
      <c r="K56" s="40"/>
      <c r="L56" s="40"/>
      <c r="M56" s="40"/>
      <c r="N56" s="40"/>
      <c r="O56" s="40"/>
      <c r="P56" s="40"/>
      <c r="Q56" s="42"/>
    </row>
    <row r="57" spans="3:17" ht="11.25">
      <c r="C57" s="80" t="s">
        <v>435</v>
      </c>
      <c r="E57" s="40"/>
      <c r="F57" s="40"/>
      <c r="H57" s="368"/>
      <c r="J57" s="40"/>
      <c r="K57" s="40"/>
      <c r="L57" s="40"/>
      <c r="M57" s="40"/>
      <c r="N57" s="40"/>
      <c r="O57" s="40"/>
      <c r="P57" s="40"/>
      <c r="Q57" s="42"/>
    </row>
    <row r="58" spans="3:17" ht="11.25" customHeight="1">
      <c r="C58" s="1" t="s">
        <v>123</v>
      </c>
      <c r="E58" s="16">
        <v>0.711</v>
      </c>
      <c r="F58" s="16"/>
      <c r="G58" s="16">
        <v>0.523</v>
      </c>
      <c r="H58" s="26"/>
      <c r="I58" s="16">
        <v>0.52</v>
      </c>
      <c r="J58" s="16"/>
      <c r="K58" s="50"/>
      <c r="L58" s="50"/>
      <c r="M58" s="16">
        <v>0.618</v>
      </c>
      <c r="N58" s="50"/>
      <c r="O58" s="258"/>
      <c r="P58"/>
      <c r="Q58" s="16">
        <f>+M58</f>
        <v>0.618</v>
      </c>
    </row>
    <row r="59" spans="3:17" ht="11.25" customHeight="1">
      <c r="C59" s="1" t="s">
        <v>130</v>
      </c>
      <c r="E59" s="16">
        <v>0.081</v>
      </c>
      <c r="F59" s="16"/>
      <c r="G59" s="16">
        <v>0.201</v>
      </c>
      <c r="H59" s="26"/>
      <c r="I59" s="16">
        <v>0.195</v>
      </c>
      <c r="J59" s="16"/>
      <c r="K59" s="50"/>
      <c r="L59" s="50"/>
      <c r="M59" s="16">
        <v>0.14</v>
      </c>
      <c r="N59" s="50"/>
      <c r="O59" s="258"/>
      <c r="P59"/>
      <c r="Q59" s="16">
        <f>+M59</f>
        <v>0.14</v>
      </c>
    </row>
    <row r="60" spans="3:17" ht="11.25" customHeight="1">
      <c r="C60" s="1" t="s">
        <v>138</v>
      </c>
      <c r="E60" s="18">
        <v>0.088</v>
      </c>
      <c r="F60" s="18"/>
      <c r="G60" s="18">
        <v>0.144</v>
      </c>
      <c r="H60" s="27"/>
      <c r="I60" s="18">
        <v>0.05</v>
      </c>
      <c r="J60" s="17"/>
      <c r="K60" s="50"/>
      <c r="L60" s="50"/>
      <c r="M60" s="18">
        <v>0.116</v>
      </c>
      <c r="N60" s="50"/>
      <c r="O60" s="258"/>
      <c r="P60" s="258"/>
      <c r="Q60" s="18">
        <f>+M60</f>
        <v>0.116</v>
      </c>
    </row>
    <row r="61" spans="3:18" ht="11.25" customHeight="1" thickBot="1">
      <c r="C61" s="7" t="s">
        <v>54</v>
      </c>
      <c r="D61" s="7"/>
      <c r="E61" s="180">
        <f>SUM(E58:E60)</f>
        <v>0.8799999999999999</v>
      </c>
      <c r="F61" s="180"/>
      <c r="G61" s="180">
        <f>SUM(G58:G60)</f>
        <v>0.868</v>
      </c>
      <c r="H61" s="190"/>
      <c r="I61" s="180">
        <f>SUM(I58:I60)</f>
        <v>0.7650000000000001</v>
      </c>
      <c r="J61" s="17"/>
      <c r="K61" s="50"/>
      <c r="L61" s="50"/>
      <c r="M61" s="180">
        <f>SUM(M58:M60)</f>
        <v>0.874</v>
      </c>
      <c r="N61" s="180"/>
      <c r="O61" s="258"/>
      <c r="P61"/>
      <c r="Q61" s="180">
        <f>SUM(Q58:Q60)</f>
        <v>0.874</v>
      </c>
      <c r="R61" s="163"/>
    </row>
    <row r="62" spans="15:16" ht="13.5" thickTop="1">
      <c r="O62"/>
      <c r="P62"/>
    </row>
  </sheetData>
  <conditionalFormatting sqref="E26 G26 I26 K26 Q26 M26 O26">
    <cfRule type="cellIs" priority="1" dxfId="0" operator="notEqual" stopIfTrue="1">
      <formula>E20</formula>
    </cfRule>
  </conditionalFormatting>
  <conditionalFormatting sqref="E49 G49 I49 K49 M49 Q49 O49">
    <cfRule type="cellIs" priority="2" dxfId="0" operator="notEqual" stopIfTrue="1">
      <formula>E41</formula>
    </cfRule>
  </conditionalFormatting>
  <hyperlinks>
    <hyperlink ref="C54" location="'Reconciliation Non-GAAP'!Print_Area" display="'Reconciliation Non-GAAP'!Print_Area"/>
  </hyperlinks>
  <printOptions/>
  <pageMargins left="0.5" right="0.5" top="0.5" bottom="0.55" header="0.75" footer="0.3"/>
  <pageSetup fitToHeight="1" fitToWidth="1" horizontalDpi="600" verticalDpi="600" orientation="landscape" scale="91" r:id="rId2"/>
  <headerFooter alignWithMargins="0">
    <oddFooter>&amp;L&amp;A&amp;R&amp;"Arial,Regular"&amp;8Page 6</oddFooter>
  </headerFooter>
  <drawing r:id="rId1"/>
</worksheet>
</file>

<file path=xl/worksheets/sheet9.xml><?xml version="1.0" encoding="utf-8"?>
<worksheet xmlns="http://schemas.openxmlformats.org/spreadsheetml/2006/main" xmlns:r="http://schemas.openxmlformats.org/officeDocument/2006/relationships">
  <sheetPr codeName="Sheet18"/>
  <dimension ref="C1:U46"/>
  <sheetViews>
    <sheetView workbookViewId="0" topLeftCell="A1">
      <selection activeCell="A1" sqref="A1"/>
    </sheetView>
  </sheetViews>
  <sheetFormatPr defaultColWidth="9.33203125" defaultRowHeight="12.75"/>
  <cols>
    <col min="1" max="2" width="3.33203125" style="1" customWidth="1"/>
    <col min="3" max="3" width="4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1" customWidth="1"/>
    <col min="16" max="16" width="8.83203125" style="1" customWidth="1"/>
    <col min="17" max="17" width="2.33203125" style="1" customWidth="1"/>
    <col min="18" max="18" width="8.83203125" style="1" customWidth="1"/>
    <col min="19" max="19" width="2.16015625" style="7" customWidth="1"/>
    <col min="20" max="20" width="2.33203125" style="7" customWidth="1"/>
    <col min="21" max="21" width="4" style="1" customWidth="1"/>
    <col min="22" max="16384" width="9" style="1" customWidth="1"/>
  </cols>
  <sheetData>
    <row r="1" spans="3:21" ht="12.75">
      <c r="C1" s="622" t="s">
        <v>89</v>
      </c>
      <c r="D1" s="622"/>
      <c r="E1" s="622"/>
      <c r="F1" s="622"/>
      <c r="G1" s="622"/>
      <c r="H1" s="622"/>
      <c r="I1" s="622"/>
      <c r="J1" s="622"/>
      <c r="K1" s="622"/>
      <c r="L1" s="622"/>
      <c r="M1" s="622"/>
      <c r="N1" s="622"/>
      <c r="O1" s="622"/>
      <c r="P1" s="622"/>
      <c r="Q1" s="622"/>
      <c r="R1" s="622"/>
      <c r="S1" s="622"/>
      <c r="T1" s="622"/>
      <c r="U1" s="622"/>
    </row>
    <row r="2" spans="3:21" ht="12">
      <c r="C2" s="623" t="s">
        <v>75</v>
      </c>
      <c r="D2" s="623"/>
      <c r="E2" s="623"/>
      <c r="F2" s="623"/>
      <c r="G2" s="623"/>
      <c r="H2" s="623"/>
      <c r="I2" s="623"/>
      <c r="J2" s="623"/>
      <c r="K2" s="623"/>
      <c r="L2" s="623"/>
      <c r="M2" s="623"/>
      <c r="N2" s="623"/>
      <c r="O2" s="623"/>
      <c r="P2" s="623"/>
      <c r="Q2" s="623"/>
      <c r="R2" s="623"/>
      <c r="S2" s="623"/>
      <c r="T2" s="623"/>
      <c r="U2" s="623"/>
    </row>
    <row r="3" spans="3:21" ht="12">
      <c r="C3" s="626" t="s">
        <v>147</v>
      </c>
      <c r="D3" s="626"/>
      <c r="E3" s="626"/>
      <c r="F3" s="626"/>
      <c r="G3" s="626"/>
      <c r="H3" s="626"/>
      <c r="I3" s="626"/>
      <c r="J3" s="626"/>
      <c r="K3" s="626"/>
      <c r="L3" s="626"/>
      <c r="M3" s="626"/>
      <c r="N3" s="626"/>
      <c r="O3" s="626"/>
      <c r="P3" s="626"/>
      <c r="Q3" s="626"/>
      <c r="R3" s="626"/>
      <c r="S3" s="626"/>
      <c r="T3" s="626"/>
      <c r="U3" s="626"/>
    </row>
    <row r="4" spans="3:21" ht="12">
      <c r="C4" s="626" t="s">
        <v>163</v>
      </c>
      <c r="D4" s="626"/>
      <c r="E4" s="626"/>
      <c r="F4" s="626"/>
      <c r="G4" s="626"/>
      <c r="H4" s="626"/>
      <c r="I4" s="626"/>
      <c r="J4" s="626"/>
      <c r="K4" s="626"/>
      <c r="L4" s="626"/>
      <c r="M4" s="626"/>
      <c r="N4" s="626"/>
      <c r="O4" s="626"/>
      <c r="P4" s="626"/>
      <c r="Q4" s="626"/>
      <c r="R4" s="626"/>
      <c r="S4" s="626"/>
      <c r="T4" s="626"/>
      <c r="U4" s="626"/>
    </row>
    <row r="5" spans="3:21" ht="11.25" customHeight="1">
      <c r="C5" s="507"/>
      <c r="D5" s="89"/>
      <c r="E5" s="89"/>
      <c r="F5" s="89"/>
      <c r="G5" s="89"/>
      <c r="H5" s="89"/>
      <c r="I5" s="89"/>
      <c r="J5" s="89"/>
      <c r="K5" s="89"/>
      <c r="L5" s="89"/>
      <c r="M5" s="89"/>
      <c r="N5" s="89"/>
      <c r="O5" s="89"/>
      <c r="P5" s="89"/>
      <c r="Q5" s="89"/>
      <c r="R5" s="89"/>
      <c r="S5" s="481"/>
      <c r="T5" s="481"/>
      <c r="U5" s="89"/>
    </row>
    <row r="6" spans="3:21" ht="12.75">
      <c r="C6" s="3" t="s">
        <v>181</v>
      </c>
      <c r="D6" s="3"/>
      <c r="E6" s="3"/>
      <c r="F6" s="3"/>
      <c r="N6" s="421" t="s">
        <v>256</v>
      </c>
      <c r="O6" s="410"/>
      <c r="P6" s="421" t="s">
        <v>256</v>
      </c>
      <c r="R6" s="421" t="s">
        <v>17</v>
      </c>
      <c r="S6" s="434"/>
      <c r="T6" s="410"/>
      <c r="U6" s="434"/>
    </row>
    <row r="7" spans="4:21" ht="11.25">
      <c r="D7" s="4" t="s">
        <v>428</v>
      </c>
      <c r="E7" s="79"/>
      <c r="F7" s="4" t="s">
        <v>375</v>
      </c>
      <c r="G7" s="79"/>
      <c r="H7" s="4" t="s">
        <v>361</v>
      </c>
      <c r="I7" s="79"/>
      <c r="J7" s="4" t="s">
        <v>354</v>
      </c>
      <c r="K7" s="79"/>
      <c r="L7" s="4" t="s">
        <v>352</v>
      </c>
      <c r="M7" s="4"/>
      <c r="N7" s="22">
        <v>2007</v>
      </c>
      <c r="O7" s="7"/>
      <c r="P7" s="22">
        <v>2006</v>
      </c>
      <c r="Q7" s="4"/>
      <c r="R7" s="22">
        <v>2006</v>
      </c>
      <c r="S7" s="5"/>
      <c r="T7" s="5"/>
      <c r="U7" s="29"/>
    </row>
    <row r="8" spans="6:21" ht="13.5" customHeight="1">
      <c r="F8" s="2"/>
      <c r="H8" s="2"/>
      <c r="J8" s="2"/>
      <c r="L8" s="2"/>
      <c r="N8" s="2"/>
      <c r="P8" s="2"/>
      <c r="R8" s="2"/>
      <c r="U8" s="126"/>
    </row>
    <row r="9" spans="3:21" ht="11.25" customHeight="1">
      <c r="C9" s="1" t="s">
        <v>124</v>
      </c>
      <c r="D9" s="37">
        <f>+'Segment  2007 Qtr'!E10</f>
        <v>2589</v>
      </c>
      <c r="F9" s="37">
        <v>2269</v>
      </c>
      <c r="G9" s="31"/>
      <c r="H9" s="37">
        <v>2236</v>
      </c>
      <c r="I9" s="31"/>
      <c r="J9" s="31">
        <v>2550</v>
      </c>
      <c r="K9" s="31"/>
      <c r="L9" s="31">
        <v>2615</v>
      </c>
      <c r="M9" s="31"/>
      <c r="N9" s="31">
        <f aca="true" t="shared" si="0" ref="N9:N14">+F9+D9</f>
        <v>4858</v>
      </c>
      <c r="O9" s="31"/>
      <c r="P9" s="31">
        <v>4877</v>
      </c>
      <c r="Q9" s="31"/>
      <c r="R9" s="31">
        <v>9663</v>
      </c>
      <c r="S9" s="32"/>
      <c r="T9" s="369"/>
      <c r="U9" s="522"/>
    </row>
    <row r="10" spans="3:21" ht="11.25" customHeight="1">
      <c r="C10" s="1" t="s">
        <v>125</v>
      </c>
      <c r="D10" s="53">
        <f>+'Segment  2007 Qtr'!E11</f>
        <v>1497</v>
      </c>
      <c r="F10" s="53">
        <v>1514</v>
      </c>
      <c r="G10" s="40"/>
      <c r="H10" s="53">
        <v>1476</v>
      </c>
      <c r="I10" s="40"/>
      <c r="J10" s="53">
        <v>1459</v>
      </c>
      <c r="K10" s="40"/>
      <c r="L10" s="53">
        <v>1502</v>
      </c>
      <c r="M10" s="40"/>
      <c r="N10" s="53">
        <f t="shared" si="0"/>
        <v>3011</v>
      </c>
      <c r="O10" s="40"/>
      <c r="P10" s="53">
        <v>3005</v>
      </c>
      <c r="Q10" s="40"/>
      <c r="R10" s="53">
        <v>5940</v>
      </c>
      <c r="S10" s="85"/>
      <c r="T10" s="369"/>
      <c r="U10" s="522"/>
    </row>
    <row r="11" spans="3:21" ht="11.25" customHeight="1">
      <c r="C11" s="1" t="s">
        <v>126</v>
      </c>
      <c r="D11" s="53">
        <f>+'Segment  2007 Qtr'!E12</f>
        <v>1455</v>
      </c>
      <c r="F11" s="53">
        <v>1539</v>
      </c>
      <c r="G11" s="40"/>
      <c r="H11" s="53">
        <v>1471</v>
      </c>
      <c r="I11" s="40"/>
      <c r="J11" s="53">
        <v>1547</v>
      </c>
      <c r="K11" s="40"/>
      <c r="L11" s="53">
        <v>1367</v>
      </c>
      <c r="M11" s="40"/>
      <c r="N11" s="53">
        <f t="shared" si="0"/>
        <v>2994</v>
      </c>
      <c r="O11" s="40"/>
      <c r="P11" s="53">
        <v>2701</v>
      </c>
      <c r="Q11" s="40"/>
      <c r="R11" s="53">
        <v>5719</v>
      </c>
      <c r="S11" s="85"/>
      <c r="T11" s="369"/>
      <c r="U11" s="522"/>
    </row>
    <row r="12" spans="3:21" ht="11.25" customHeight="1">
      <c r="C12" s="1" t="s">
        <v>119</v>
      </c>
      <c r="D12" s="53">
        <f>+'Segment  2007 Qtr'!E13</f>
        <v>1016</v>
      </c>
      <c r="F12" s="53">
        <v>1111</v>
      </c>
      <c r="G12" s="40"/>
      <c r="H12" s="53">
        <v>1054</v>
      </c>
      <c r="I12" s="40"/>
      <c r="J12" s="53">
        <v>1090</v>
      </c>
      <c r="K12" s="40"/>
      <c r="L12" s="53">
        <v>966</v>
      </c>
      <c r="M12" s="40"/>
      <c r="N12" s="53">
        <f t="shared" si="0"/>
        <v>2127</v>
      </c>
      <c r="O12" s="40"/>
      <c r="P12" s="53">
        <v>1882</v>
      </c>
      <c r="Q12" s="40"/>
      <c r="R12" s="53">
        <v>4026</v>
      </c>
      <c r="S12" s="85"/>
      <c r="T12" s="369"/>
      <c r="U12" s="522"/>
    </row>
    <row r="13" spans="3:21" ht="11.25" customHeight="1">
      <c r="C13" s="1" t="s">
        <v>129</v>
      </c>
      <c r="D13" s="53">
        <f>+'Segment  2007 Qtr'!E15</f>
        <v>128</v>
      </c>
      <c r="F13" s="53">
        <v>116</v>
      </c>
      <c r="G13" s="40"/>
      <c r="H13" s="53">
        <v>122</v>
      </c>
      <c r="I13" s="40"/>
      <c r="J13" s="53">
        <v>142</v>
      </c>
      <c r="K13" s="40"/>
      <c r="L13" s="53">
        <v>122</v>
      </c>
      <c r="M13" s="40"/>
      <c r="N13" s="53">
        <f t="shared" si="0"/>
        <v>244</v>
      </c>
      <c r="O13" s="40"/>
      <c r="P13" s="53">
        <v>266</v>
      </c>
      <c r="Q13" s="40"/>
      <c r="R13" s="53">
        <v>530</v>
      </c>
      <c r="S13" s="85"/>
      <c r="T13" s="369"/>
      <c r="U13" s="522"/>
    </row>
    <row r="14" spans="3:21" ht="11.25" customHeight="1">
      <c r="C14" s="1" t="s">
        <v>127</v>
      </c>
      <c r="D14" s="53">
        <f>+'Segment  2007 Qtr'!E16</f>
        <v>130</v>
      </c>
      <c r="E14" s="79"/>
      <c r="F14" s="53">
        <v>133</v>
      </c>
      <c r="G14" s="85"/>
      <c r="H14" s="53">
        <v>132</v>
      </c>
      <c r="I14" s="85"/>
      <c r="J14" s="53">
        <v>129</v>
      </c>
      <c r="K14" s="85"/>
      <c r="L14" s="53">
        <v>125</v>
      </c>
      <c r="M14" s="85"/>
      <c r="N14" s="53">
        <f t="shared" si="0"/>
        <v>263</v>
      </c>
      <c r="O14" s="85"/>
      <c r="P14" s="53">
        <v>241</v>
      </c>
      <c r="Q14" s="85"/>
      <c r="R14" s="53">
        <v>502</v>
      </c>
      <c r="S14" s="85"/>
      <c r="T14" s="337"/>
      <c r="U14" s="522"/>
    </row>
    <row r="15" spans="3:21" ht="11.25" customHeight="1">
      <c r="C15" s="1" t="s">
        <v>55</v>
      </c>
      <c r="D15" s="442">
        <f>D11-D12-D13-D14</f>
        <v>181</v>
      </c>
      <c r="F15" s="442">
        <f>F11-F12-F13-F14</f>
        <v>179</v>
      </c>
      <c r="G15" s="259"/>
      <c r="H15" s="442">
        <f>H11-H12-H13-H14</f>
        <v>163</v>
      </c>
      <c r="I15" s="259"/>
      <c r="J15" s="259">
        <f>J11-J12-J13-J14</f>
        <v>186</v>
      </c>
      <c r="K15" s="259"/>
      <c r="L15" s="259">
        <f>L11-L12-L13-L14</f>
        <v>154</v>
      </c>
      <c r="M15" s="259"/>
      <c r="N15" s="259">
        <f>N11-N12-N13-N14</f>
        <v>360</v>
      </c>
      <c r="O15" s="259"/>
      <c r="P15" s="259">
        <f>P11-P12-P13-P14</f>
        <v>312</v>
      </c>
      <c r="Q15" s="259"/>
      <c r="R15" s="442">
        <f>R11-R12-R13-R14</f>
        <v>661</v>
      </c>
      <c r="S15" s="341"/>
      <c r="T15" s="38"/>
      <c r="U15" s="522"/>
    </row>
    <row r="16" spans="3:21" ht="7.5" customHeight="1">
      <c r="C16" s="24"/>
      <c r="D16" s="432"/>
      <c r="E16" s="24"/>
      <c r="F16" s="432"/>
      <c r="G16" s="127"/>
      <c r="H16" s="432"/>
      <c r="I16" s="127"/>
      <c r="J16" s="127"/>
      <c r="K16" s="127"/>
      <c r="L16" s="127"/>
      <c r="M16" s="127"/>
      <c r="N16" s="432"/>
      <c r="O16" s="127"/>
      <c r="P16" s="432"/>
      <c r="Q16" s="127"/>
      <c r="R16" s="432"/>
      <c r="S16" s="404"/>
      <c r="T16" s="369"/>
      <c r="U16" s="522"/>
    </row>
    <row r="17" spans="3:21" ht="11.25" customHeight="1">
      <c r="C17" s="1" t="s">
        <v>7</v>
      </c>
      <c r="D17" s="53">
        <f>+'Segment  2007 Qtr'!E19</f>
        <v>257</v>
      </c>
      <c r="F17" s="53">
        <v>241</v>
      </c>
      <c r="G17" s="40"/>
      <c r="H17" s="53">
        <v>233</v>
      </c>
      <c r="I17" s="40"/>
      <c r="J17" s="53">
        <v>228</v>
      </c>
      <c r="K17" s="40"/>
      <c r="L17" s="53">
        <v>212</v>
      </c>
      <c r="M17" s="53"/>
      <c r="N17" s="53">
        <f>+F17+D17</f>
        <v>498</v>
      </c>
      <c r="O17" s="53"/>
      <c r="P17" s="53">
        <v>415</v>
      </c>
      <c r="Q17" s="53"/>
      <c r="R17" s="53">
        <v>876</v>
      </c>
      <c r="S17" s="53"/>
      <c r="T17" s="53"/>
      <c r="U17" s="522"/>
    </row>
    <row r="18" spans="3:21" ht="11.25" customHeight="1">
      <c r="C18" s="173" t="s">
        <v>166</v>
      </c>
      <c r="D18" s="53">
        <f>+'Segment  2007 Qtr'!E20</f>
        <v>15</v>
      </c>
      <c r="E18" s="173"/>
      <c r="F18" s="53">
        <v>37</v>
      </c>
      <c r="G18" s="53"/>
      <c r="H18" s="53">
        <v>-11</v>
      </c>
      <c r="I18" s="53"/>
      <c r="J18" s="53">
        <v>-34</v>
      </c>
      <c r="K18" s="53"/>
      <c r="L18" s="53">
        <v>-32</v>
      </c>
      <c r="M18" s="53"/>
      <c r="N18" s="53">
        <f>+F18+D18</f>
        <v>52</v>
      </c>
      <c r="O18" s="53"/>
      <c r="P18" s="53">
        <v>-38</v>
      </c>
      <c r="Q18" s="53"/>
      <c r="R18" s="53">
        <v>-83</v>
      </c>
      <c r="S18" s="53"/>
      <c r="T18" s="53"/>
      <c r="U18" s="522"/>
    </row>
    <row r="19" spans="3:21" ht="11.25" customHeight="1">
      <c r="C19" s="1" t="s">
        <v>139</v>
      </c>
      <c r="D19" s="53">
        <f>+'Segment  2007 Qtr'!E21</f>
        <v>0</v>
      </c>
      <c r="F19" s="53">
        <v>0</v>
      </c>
      <c r="G19" s="53"/>
      <c r="H19" s="53">
        <v>0</v>
      </c>
      <c r="I19" s="53"/>
      <c r="J19" s="53">
        <v>0</v>
      </c>
      <c r="K19" s="53"/>
      <c r="L19" s="53">
        <v>0</v>
      </c>
      <c r="M19" s="53"/>
      <c r="N19" s="53">
        <f>+F19+D19</f>
        <v>0</v>
      </c>
      <c r="O19" s="53"/>
      <c r="P19" s="53">
        <v>0</v>
      </c>
      <c r="Q19" s="53"/>
      <c r="R19" s="53">
        <v>0</v>
      </c>
      <c r="S19" s="53"/>
      <c r="T19" s="53"/>
      <c r="U19" s="522"/>
    </row>
    <row r="20" spans="3:21" ht="11.25" customHeight="1">
      <c r="C20" s="1" t="s">
        <v>246</v>
      </c>
      <c r="D20" s="53">
        <f>+'Segment  2007 Qtr'!E22</f>
        <v>1</v>
      </c>
      <c r="F20" s="53">
        <v>9</v>
      </c>
      <c r="G20" s="53"/>
      <c r="H20" s="53">
        <v>-13</v>
      </c>
      <c r="I20" s="53"/>
      <c r="J20" s="53">
        <v>11</v>
      </c>
      <c r="K20" s="53"/>
      <c r="L20" s="53">
        <v>1</v>
      </c>
      <c r="M20" s="53"/>
      <c r="N20" s="53">
        <f>+F20+D20</f>
        <v>10</v>
      </c>
      <c r="O20" s="53"/>
      <c r="P20" s="53">
        <v>0</v>
      </c>
      <c r="Q20" s="53"/>
      <c r="R20" s="53">
        <v>-2</v>
      </c>
      <c r="S20" s="53"/>
      <c r="T20" s="53"/>
      <c r="U20" s="522"/>
    </row>
    <row r="21" spans="3:21" ht="11.25" customHeight="1">
      <c r="C21" s="172" t="s">
        <v>151</v>
      </c>
      <c r="D21" s="251">
        <f>+'Segment  2007 Qtr'!E23</f>
        <v>115</v>
      </c>
      <c r="E21" s="458"/>
      <c r="F21" s="251">
        <v>128</v>
      </c>
      <c r="G21" s="251"/>
      <c r="H21" s="251">
        <v>89</v>
      </c>
      <c r="I21" s="251"/>
      <c r="J21" s="251">
        <v>74</v>
      </c>
      <c r="K21" s="251"/>
      <c r="L21" s="251">
        <v>95</v>
      </c>
      <c r="M21" s="251"/>
      <c r="N21" s="251">
        <f>+F21+D21</f>
        <v>243</v>
      </c>
      <c r="O21" s="251"/>
      <c r="P21" s="251">
        <v>189</v>
      </c>
      <c r="Q21" s="251"/>
      <c r="R21" s="251">
        <v>352</v>
      </c>
      <c r="S21" s="53"/>
      <c r="T21" s="337"/>
      <c r="U21" s="522"/>
    </row>
    <row r="22" spans="3:21" ht="11.25" customHeight="1">
      <c r="C22" s="172" t="s">
        <v>206</v>
      </c>
      <c r="D22" s="443">
        <f>D15+D17-D20+D18-D19-D21</f>
        <v>337</v>
      </c>
      <c r="E22" s="172"/>
      <c r="F22" s="443">
        <f>F15+F17-F20+F18-F19-F21</f>
        <v>320</v>
      </c>
      <c r="G22" s="341"/>
      <c r="H22" s="443">
        <f>H15+H17-H20+H18-H19-H21</f>
        <v>309</v>
      </c>
      <c r="I22" s="341"/>
      <c r="J22" s="341">
        <f>J15+J17-J20+J18-J19-J21</f>
        <v>295</v>
      </c>
      <c r="K22" s="341"/>
      <c r="L22" s="341">
        <f>L15+L17-L20+L18-L19-L21</f>
        <v>238</v>
      </c>
      <c r="M22" s="341"/>
      <c r="N22" s="443">
        <f>N15+N17-N20+N18-N19-N21</f>
        <v>657</v>
      </c>
      <c r="O22" s="341"/>
      <c r="P22" s="443">
        <f>P15+P17-P20+P18-P19-P21</f>
        <v>500</v>
      </c>
      <c r="Q22" s="341"/>
      <c r="R22" s="443">
        <f>R15+R17-R20+R18-R19-R21</f>
        <v>1104</v>
      </c>
      <c r="S22" s="341"/>
      <c r="T22" s="38"/>
      <c r="U22" s="522"/>
    </row>
    <row r="23" spans="3:21" ht="7.5" customHeight="1">
      <c r="C23" s="189"/>
      <c r="D23" s="444"/>
      <c r="E23" s="189"/>
      <c r="F23" s="444"/>
      <c r="G23" s="423"/>
      <c r="H23" s="444"/>
      <c r="I23" s="423"/>
      <c r="J23" s="423"/>
      <c r="K23" s="423"/>
      <c r="L23" s="423"/>
      <c r="M23" s="423"/>
      <c r="N23" s="444"/>
      <c r="O23" s="423"/>
      <c r="P23" s="444"/>
      <c r="Q23" s="423"/>
      <c r="R23" s="444"/>
      <c r="S23" s="552"/>
      <c r="T23" s="369"/>
      <c r="U23" s="522"/>
    </row>
    <row r="24" spans="3:21" ht="11.25" customHeight="1">
      <c r="C24" s="173" t="s">
        <v>166</v>
      </c>
      <c r="D24" s="53">
        <f>+'Segment  2007 Qtr'!E26</f>
        <v>15</v>
      </c>
      <c r="E24" s="173"/>
      <c r="F24" s="53">
        <v>37</v>
      </c>
      <c r="G24" s="53"/>
      <c r="H24" s="53">
        <v>-11</v>
      </c>
      <c r="I24" s="53"/>
      <c r="J24" s="211">
        <v>-34</v>
      </c>
      <c r="K24" s="53"/>
      <c r="L24" s="53">
        <v>-32</v>
      </c>
      <c r="M24" s="53"/>
      <c r="N24" s="53">
        <f>+F24+D24</f>
        <v>52</v>
      </c>
      <c r="O24" s="53"/>
      <c r="P24" s="53">
        <v>-38</v>
      </c>
      <c r="Q24" s="53"/>
      <c r="R24" s="53">
        <v>-83</v>
      </c>
      <c r="S24" s="53"/>
      <c r="T24" s="75"/>
      <c r="U24" s="522"/>
    </row>
    <row r="25" spans="3:21" ht="11.25" customHeight="1">
      <c r="C25" s="173" t="s">
        <v>247</v>
      </c>
      <c r="D25" s="53">
        <f>+'Segment  2007 Qtr'!E27</f>
        <v>8</v>
      </c>
      <c r="E25" s="173"/>
      <c r="F25" s="53">
        <v>15</v>
      </c>
      <c r="G25" s="53"/>
      <c r="H25" s="53">
        <v>-16</v>
      </c>
      <c r="I25" s="53"/>
      <c r="J25" s="53">
        <v>-32</v>
      </c>
      <c r="K25" s="53"/>
      <c r="L25" s="53">
        <v>-5</v>
      </c>
      <c r="M25" s="53"/>
      <c r="N25" s="53">
        <f>+F25+D25</f>
        <v>23</v>
      </c>
      <c r="O25" s="53"/>
      <c r="P25" s="53">
        <v>-7</v>
      </c>
      <c r="Q25" s="53"/>
      <c r="R25" s="53">
        <v>-55</v>
      </c>
      <c r="S25" s="53"/>
      <c r="T25" s="369"/>
      <c r="U25" s="522"/>
    </row>
    <row r="26" spans="3:21" ht="14.25" customHeight="1" thickBot="1">
      <c r="C26" s="173" t="s">
        <v>250</v>
      </c>
      <c r="D26" s="445">
        <f>D22-D24+D25</f>
        <v>330</v>
      </c>
      <c r="E26" s="459"/>
      <c r="F26" s="445">
        <f>F22-F24+F25</f>
        <v>298</v>
      </c>
      <c r="G26" s="384"/>
      <c r="H26" s="445">
        <f>H22-H24+H25</f>
        <v>304</v>
      </c>
      <c r="I26" s="384"/>
      <c r="J26" s="384">
        <f>J22-J24+J25</f>
        <v>297</v>
      </c>
      <c r="K26" s="384"/>
      <c r="L26" s="384">
        <f>L22-L24+L25</f>
        <v>265</v>
      </c>
      <c r="M26" s="384"/>
      <c r="N26" s="384">
        <f>N22-N24+N25</f>
        <v>628</v>
      </c>
      <c r="O26" s="384"/>
      <c r="P26" s="384">
        <f>P22-P24+P25</f>
        <v>531</v>
      </c>
      <c r="Q26" s="384"/>
      <c r="R26" s="445">
        <f>R22-R24+R25</f>
        <v>1132</v>
      </c>
      <c r="S26" s="32"/>
      <c r="T26" s="75"/>
      <c r="U26" s="522"/>
    </row>
    <row r="27" spans="4:21" ht="12" thickTop="1">
      <c r="D27" s="42"/>
      <c r="F27" s="42"/>
      <c r="G27" s="42"/>
      <c r="H27" s="42"/>
      <c r="I27" s="42"/>
      <c r="J27" s="42"/>
      <c r="K27" s="42"/>
      <c r="L27" s="42"/>
      <c r="M27" s="42"/>
      <c r="N27" s="424"/>
      <c r="O27" s="42"/>
      <c r="P27" s="424"/>
      <c r="Q27" s="42"/>
      <c r="R27" s="424"/>
      <c r="S27" s="75"/>
      <c r="T27" s="369"/>
      <c r="U27" s="122"/>
    </row>
    <row r="28" spans="3:21" ht="11.25">
      <c r="C28" s="179" t="s">
        <v>128</v>
      </c>
      <c r="D28" s="371"/>
      <c r="E28" s="179"/>
      <c r="F28" s="371"/>
      <c r="G28" s="371"/>
      <c r="H28" s="371"/>
      <c r="I28" s="371"/>
      <c r="J28" s="371"/>
      <c r="K28" s="371"/>
      <c r="L28" s="371"/>
      <c r="M28" s="42"/>
      <c r="N28" s="366"/>
      <c r="O28" s="42"/>
      <c r="P28" s="366"/>
      <c r="Q28" s="42"/>
      <c r="R28" s="366"/>
      <c r="S28" s="75"/>
      <c r="T28" s="369"/>
      <c r="U28" s="122"/>
    </row>
    <row r="29" spans="3:21" ht="11.25">
      <c r="C29" s="1" t="s">
        <v>123</v>
      </c>
      <c r="D29" s="16">
        <f>'Segment  2007 Qtr'!E54</f>
        <v>0.698</v>
      </c>
      <c r="F29" s="16">
        <v>0.722</v>
      </c>
      <c r="G29" s="16"/>
      <c r="H29" s="16">
        <v>0.717</v>
      </c>
      <c r="I29" s="16"/>
      <c r="J29" s="16">
        <v>0.704</v>
      </c>
      <c r="K29" s="16"/>
      <c r="L29" s="16">
        <v>0.707</v>
      </c>
      <c r="M29" s="16"/>
      <c r="N29" s="16">
        <f>+'Segment  2007 YTD'!E58</f>
        <v>0.711</v>
      </c>
      <c r="O29" s="16"/>
      <c r="P29" s="16">
        <v>0.697</v>
      </c>
      <c r="Q29" s="16"/>
      <c r="R29" s="16">
        <v>0.704</v>
      </c>
      <c r="S29" s="17"/>
      <c r="T29" s="369"/>
      <c r="U29" s="424"/>
    </row>
    <row r="30" spans="3:21" ht="11.25">
      <c r="C30" s="1" t="s">
        <v>130</v>
      </c>
      <c r="D30" s="16">
        <f>'Segment  2007 Qtr'!E55</f>
        <v>0.088</v>
      </c>
      <c r="F30" s="16">
        <v>0.075</v>
      </c>
      <c r="G30" s="16"/>
      <c r="H30" s="16">
        <v>0.083</v>
      </c>
      <c r="I30" s="16"/>
      <c r="J30" s="16">
        <v>0.091</v>
      </c>
      <c r="K30" s="16"/>
      <c r="L30" s="16">
        <v>0.089</v>
      </c>
      <c r="M30" s="16"/>
      <c r="N30" s="16">
        <f>+'Segment  2007 YTD'!E59</f>
        <v>0.081</v>
      </c>
      <c r="O30" s="16"/>
      <c r="P30" s="16">
        <v>0.099</v>
      </c>
      <c r="Q30" s="16"/>
      <c r="R30" s="16">
        <v>0.092</v>
      </c>
      <c r="S30" s="17"/>
      <c r="T30" s="369"/>
      <c r="U30" s="59"/>
    </row>
    <row r="31" spans="3:21" ht="11.25">
      <c r="C31" s="1" t="s">
        <v>138</v>
      </c>
      <c r="D31" s="16">
        <f>'Segment  2007 Qtr'!E56</f>
        <v>0.089</v>
      </c>
      <c r="F31" s="16">
        <v>0.087</v>
      </c>
      <c r="G31" s="18"/>
      <c r="H31" s="16">
        <v>0.089</v>
      </c>
      <c r="I31" s="18"/>
      <c r="J31" s="16">
        <v>0.084</v>
      </c>
      <c r="K31" s="18"/>
      <c r="L31" s="16">
        <v>0.091</v>
      </c>
      <c r="M31" s="18"/>
      <c r="N31" s="16">
        <f>+'Segment  2007 YTD'!E60</f>
        <v>0.088</v>
      </c>
      <c r="O31" s="17"/>
      <c r="P31" s="16">
        <v>0.089</v>
      </c>
      <c r="Q31" s="17"/>
      <c r="R31" s="16">
        <v>0.088</v>
      </c>
      <c r="S31" s="17"/>
      <c r="T31" s="369"/>
      <c r="U31" s="369"/>
    </row>
    <row r="32" spans="3:21" ht="12" thickBot="1">
      <c r="C32" s="172" t="s">
        <v>54</v>
      </c>
      <c r="D32" s="180">
        <f>SUM(D29:D31)</f>
        <v>0.8749999999999999</v>
      </c>
      <c r="E32" s="460"/>
      <c r="F32" s="180">
        <f>SUM(F29:F31)</f>
        <v>0.8839999999999999</v>
      </c>
      <c r="G32" s="180"/>
      <c r="H32" s="180">
        <f>SUM(H29:H31)</f>
        <v>0.8889999999999999</v>
      </c>
      <c r="I32" s="180"/>
      <c r="J32" s="180">
        <f>SUM(J29:J31)</f>
        <v>0.8789999999999999</v>
      </c>
      <c r="K32" s="180"/>
      <c r="L32" s="180">
        <f>SUM(L29:L31)</f>
        <v>0.8869999999999999</v>
      </c>
      <c r="M32" s="180"/>
      <c r="N32" s="180">
        <f>SUM(N29:N31)</f>
        <v>0.8799999999999999</v>
      </c>
      <c r="O32" s="180"/>
      <c r="P32" s="180">
        <f>SUM(P29:P31)</f>
        <v>0.8849999999999999</v>
      </c>
      <c r="Q32" s="180"/>
      <c r="R32" s="180">
        <f>SUM(R29:R31)</f>
        <v>0.8839999999999999</v>
      </c>
      <c r="S32" s="17"/>
      <c r="T32" s="369"/>
      <c r="U32" s="32"/>
    </row>
    <row r="33" spans="4:21" ht="12" thickTop="1">
      <c r="D33" s="42"/>
      <c r="F33" s="42"/>
      <c r="G33" s="62"/>
      <c r="H33" s="42"/>
      <c r="I33" s="62"/>
      <c r="J33" s="42"/>
      <c r="K33" s="62"/>
      <c r="L33" s="42"/>
      <c r="M33" s="42"/>
      <c r="N33" s="424"/>
      <c r="O33" s="42"/>
      <c r="P33" s="424"/>
      <c r="Q33" s="42"/>
      <c r="R33" s="424"/>
      <c r="S33" s="75"/>
      <c r="T33" s="434"/>
      <c r="U33" s="32"/>
    </row>
    <row r="34" spans="3:21" ht="11.25">
      <c r="C34" s="14" t="s">
        <v>2</v>
      </c>
      <c r="D34" s="37"/>
      <c r="E34" s="14"/>
      <c r="F34" s="37"/>
      <c r="G34" s="14"/>
      <c r="H34" s="37"/>
      <c r="I34" s="14"/>
      <c r="J34" s="37"/>
      <c r="K34" s="42"/>
      <c r="L34" s="37"/>
      <c r="M34" s="42"/>
      <c r="N34" s="30"/>
      <c r="O34" s="42"/>
      <c r="P34" s="30"/>
      <c r="Q34" s="42"/>
      <c r="R34" s="30"/>
      <c r="S34" s="75"/>
      <c r="T34" s="85"/>
      <c r="U34" s="369"/>
    </row>
    <row r="35" spans="3:21" ht="11.25">
      <c r="C35" s="1" t="s">
        <v>296</v>
      </c>
      <c r="D35" s="37">
        <v>16</v>
      </c>
      <c r="F35" s="37">
        <v>0</v>
      </c>
      <c r="H35" s="37">
        <v>0</v>
      </c>
      <c r="J35" s="37">
        <v>0</v>
      </c>
      <c r="K35" s="37"/>
      <c r="L35" s="37">
        <v>0</v>
      </c>
      <c r="M35" s="37"/>
      <c r="N35" s="37">
        <f>+F35+D35</f>
        <v>16</v>
      </c>
      <c r="O35" s="37"/>
      <c r="P35" s="37">
        <v>0</v>
      </c>
      <c r="Q35" s="37"/>
      <c r="R35" s="37">
        <v>0</v>
      </c>
      <c r="S35" s="59"/>
      <c r="T35" s="59"/>
      <c r="U35" s="404"/>
    </row>
    <row r="36" spans="3:21" ht="11.25">
      <c r="C36" s="1" t="s">
        <v>312</v>
      </c>
      <c r="D36" s="37">
        <v>-6</v>
      </c>
      <c r="F36" s="37">
        <v>10</v>
      </c>
      <c r="H36" s="37">
        <v>20</v>
      </c>
      <c r="J36" s="37">
        <v>30</v>
      </c>
      <c r="L36" s="37">
        <v>11</v>
      </c>
      <c r="M36" s="37"/>
      <c r="N36" s="37">
        <f>+F36+D36</f>
        <v>4</v>
      </c>
      <c r="O36" s="37"/>
      <c r="P36" s="37">
        <v>15</v>
      </c>
      <c r="Q36" s="37"/>
      <c r="R36" s="31">
        <v>65</v>
      </c>
      <c r="S36" s="59"/>
      <c r="T36" s="59"/>
      <c r="U36" s="404"/>
    </row>
    <row r="37" spans="4:21" ht="11.25">
      <c r="D37" s="127"/>
      <c r="F37" s="127"/>
      <c r="G37" s="127"/>
      <c r="H37" s="127"/>
      <c r="I37" s="127"/>
      <c r="J37" s="127"/>
      <c r="K37" s="127"/>
      <c r="L37" s="127"/>
      <c r="M37" s="127"/>
      <c r="N37" s="127"/>
      <c r="O37" s="127"/>
      <c r="P37" s="127"/>
      <c r="Q37" s="127"/>
      <c r="R37" s="127"/>
      <c r="S37" s="404"/>
      <c r="T37" s="369"/>
      <c r="U37" s="404"/>
    </row>
    <row r="38" spans="3:21" ht="11.25">
      <c r="C38" s="14" t="s">
        <v>13</v>
      </c>
      <c r="D38" s="127"/>
      <c r="F38" s="127"/>
      <c r="G38" s="127"/>
      <c r="H38" s="127"/>
      <c r="I38" s="127"/>
      <c r="J38" s="127"/>
      <c r="K38" s="127"/>
      <c r="L38" s="127"/>
      <c r="M38" s="127"/>
      <c r="N38" s="127"/>
      <c r="O38" s="127"/>
      <c r="P38" s="573"/>
      <c r="Q38" s="127"/>
      <c r="R38" s="127"/>
      <c r="S38" s="404"/>
      <c r="T38" s="369"/>
      <c r="U38" s="75"/>
    </row>
    <row r="39" spans="3:21" ht="11.25" customHeight="1">
      <c r="C39" s="1" t="s">
        <v>125</v>
      </c>
      <c r="D39" s="127">
        <f>(D10/L10)-1</f>
        <v>-0.0033288948069241098</v>
      </c>
      <c r="F39" s="127">
        <v>0.007318695941450404</v>
      </c>
      <c r="G39" s="127"/>
      <c r="H39" s="127">
        <v>0.16129032258064524</v>
      </c>
      <c r="I39" s="127"/>
      <c r="J39" s="127">
        <v>-0.03949967083607642</v>
      </c>
      <c r="K39" s="127"/>
      <c r="L39" s="127">
        <v>0.05255781359495448</v>
      </c>
      <c r="M39" s="127"/>
      <c r="N39" s="127">
        <f>(N10/P10)-1</f>
        <v>0.001996672212978279</v>
      </c>
      <c r="O39" s="127"/>
      <c r="P39" s="127">
        <v>0</v>
      </c>
      <c r="Q39" s="127"/>
      <c r="R39" s="127">
        <v>0.023608478373255304</v>
      </c>
      <c r="S39" s="404"/>
      <c r="T39" s="404"/>
      <c r="U39" s="242"/>
    </row>
    <row r="40" spans="3:21" ht="11.25" customHeight="1">
      <c r="C40" s="1" t="s">
        <v>18</v>
      </c>
      <c r="D40" s="127">
        <f>(D11/L11)-1</f>
        <v>0.06437454279444044</v>
      </c>
      <c r="F40" s="127">
        <v>0.15367316341829085</v>
      </c>
      <c r="G40" s="127"/>
      <c r="H40" s="127">
        <v>0.09043736100815414</v>
      </c>
      <c r="I40" s="127"/>
      <c r="J40" s="127">
        <v>-0.030094043887147315</v>
      </c>
      <c r="K40" s="127"/>
      <c r="L40" s="127">
        <v>-0.031183557760453562</v>
      </c>
      <c r="M40" s="127"/>
      <c r="N40" s="127">
        <f>(N11/P11)-1</f>
        <v>0.10847834135505363</v>
      </c>
      <c r="O40" s="127"/>
      <c r="P40" s="127">
        <v>-0.03</v>
      </c>
      <c r="Q40" s="127"/>
      <c r="R40" s="241">
        <v>-0.0019197207678882666</v>
      </c>
      <c r="S40" s="404"/>
      <c r="T40" s="404"/>
      <c r="U40" s="42"/>
    </row>
    <row r="41" spans="4:20" ht="8.25" customHeight="1">
      <c r="D41" s="127"/>
      <c r="F41" s="127"/>
      <c r="H41" s="127"/>
      <c r="J41" s="127"/>
      <c r="K41" s="127"/>
      <c r="L41" s="127"/>
      <c r="M41" s="127"/>
      <c r="N41" s="127"/>
      <c r="O41" s="127"/>
      <c r="P41" s="127"/>
      <c r="Q41" s="127"/>
      <c r="R41" s="127"/>
      <c r="S41" s="404"/>
      <c r="T41" s="404"/>
    </row>
    <row r="42" spans="3:20" ht="11.25">
      <c r="C42" s="14" t="s">
        <v>14</v>
      </c>
      <c r="D42" s="42"/>
      <c r="E42" s="14"/>
      <c r="F42" s="42"/>
      <c r="G42" s="14"/>
      <c r="H42" s="42"/>
      <c r="I42" s="14"/>
      <c r="J42" s="42"/>
      <c r="K42" s="42"/>
      <c r="L42" s="42"/>
      <c r="M42" s="42"/>
      <c r="N42" s="42"/>
      <c r="O42" s="42"/>
      <c r="P42" s="42"/>
      <c r="Q42" s="42"/>
      <c r="R42" s="42"/>
      <c r="S42" s="75"/>
      <c r="T42" s="75"/>
    </row>
    <row r="43" spans="3:20" ht="11.25" customHeight="1">
      <c r="C43" s="1" t="s">
        <v>53</v>
      </c>
      <c r="D43" s="241">
        <f>D10/D9</f>
        <v>0.578215527230591</v>
      </c>
      <c r="F43" s="241">
        <f>F10/F9</f>
        <v>0.6672542970471573</v>
      </c>
      <c r="H43" s="241">
        <f>H10/H9</f>
        <v>0.6601073345259392</v>
      </c>
      <c r="J43" s="241">
        <f>J10/J9</f>
        <v>0.572156862745098</v>
      </c>
      <c r="K43" s="241"/>
      <c r="L43" s="241">
        <f>L10/L9</f>
        <v>0.5743785850860421</v>
      </c>
      <c r="M43" s="241"/>
      <c r="N43" s="241">
        <f>N10/N9</f>
        <v>0.6198023878139152</v>
      </c>
      <c r="O43" s="241"/>
      <c r="P43" s="241">
        <f>P10/P9</f>
        <v>0.6161574738568792</v>
      </c>
      <c r="Q43" s="241"/>
      <c r="R43" s="241">
        <f>R10/R9</f>
        <v>0.614715926730829</v>
      </c>
      <c r="S43" s="242"/>
      <c r="T43" s="242"/>
    </row>
    <row r="44" spans="8:20" ht="11.25">
      <c r="H44" s="42"/>
      <c r="I44" s="42"/>
      <c r="J44" s="42"/>
      <c r="K44" s="42"/>
      <c r="L44" s="42"/>
      <c r="M44" s="42"/>
      <c r="N44" s="42"/>
      <c r="O44" s="42"/>
      <c r="P44" s="42"/>
      <c r="Q44" s="42"/>
      <c r="R44" s="42"/>
      <c r="S44" s="75"/>
      <c r="T44" s="75"/>
    </row>
    <row r="45" spans="3:9" ht="11.25">
      <c r="C45" s="532" t="str">
        <f>+'Financial Highlights'!C49</f>
        <v>(1) See page 21 Non-GAAP Financial Measures.</v>
      </c>
      <c r="D45" s="533"/>
      <c r="E45" s="35"/>
      <c r="F45" s="35"/>
      <c r="G45" s="35"/>
      <c r="H45" s="57"/>
      <c r="I45" s="57"/>
    </row>
    <row r="46" ht="11.25">
      <c r="C46" s="270"/>
    </row>
  </sheetData>
  <mergeCells count="4">
    <mergeCell ref="C1:U1"/>
    <mergeCell ref="C2:U2"/>
    <mergeCell ref="C3:U3"/>
    <mergeCell ref="C4:U4"/>
  </mergeCells>
  <hyperlinks>
    <hyperlink ref="C45" location="'Reconciliation Non-GAAP'!A1" display="'Reconciliation Non-GAAP'!A1"/>
  </hyperlinks>
  <printOptions/>
  <pageMargins left="0.5" right="0.5" top="0.5" bottom="0.55" header="0.75" footer="0.3"/>
  <pageSetup horizontalDpi="600" verticalDpi="600" orientation="landscape" r:id="rId2"/>
  <headerFooter alignWithMargins="0">
    <oddFooter>&amp;L&amp;A&amp;R&amp;"Arial,Regular"&amp;8Page 7</oddFooter>
  </headerFooter>
  <colBreaks count="1" manualBreakCount="1">
    <brk id="19" max="4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Message</dc:title>
  <dc:subject/>
  <dc:creator>Sabra Purtill</dc:creator>
  <cp:keywords/>
  <dc:description/>
  <cp:lastModifiedBy>Thomson Financial</cp:lastModifiedBy>
  <cp:lastPrinted>2007-07-24T17:54:04Z</cp:lastPrinted>
  <dcterms:created xsi:type="dcterms:W3CDTF">2002-06-18T14:43:31Z</dcterms:created>
  <dcterms:modified xsi:type="dcterms:W3CDTF">2007-07-25T14:49:15Z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