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80" windowHeight="8280" activeTab="0"/>
  </bookViews>
  <sheets>
    <sheet name="Cover" sheetId="1" r:id="rId1"/>
    <sheet name="Table of Contents" sheetId="2" r:id="rId2"/>
    <sheet name="Financial Highlights" sheetId="3" r:id="rId3"/>
    <sheet name="Consolidated Results" sheetId="4" r:id="rId4"/>
    <sheet name="Consol Bal Sheet" sheetId="5" r:id="rId5"/>
    <sheet name="Line of Business " sheetId="6" r:id="rId6"/>
    <sheet name="Segment  2007 Qtr" sheetId="7" r:id="rId7"/>
    <sheet name="Segment  2007 YTD" sheetId="8" r:id="rId8"/>
    <sheet name="Insurance-North American " sheetId="9" r:id="rId9"/>
    <sheet name="Insurance-Overseas General " sheetId="10" r:id="rId10"/>
    <sheet name="Global Reinsurance " sheetId="11" r:id="rId11"/>
    <sheet name="Global Reinsurance 2" sheetId="12" r:id="rId12"/>
    <sheet name="Life" sheetId="13" r:id="rId13"/>
    <sheet name="Loss Reserve Rollforward" sheetId="14" r:id="rId14"/>
    <sheet name="Reinsurance Recoverable" sheetId="15" r:id="rId15"/>
    <sheet name="Reinsurance Rec-Active" sheetId="16" r:id="rId16"/>
    <sheet name="Reinsurance Rec-Consolidated" sheetId="17" r:id="rId17"/>
    <sheet name="Reinsurance Recoverable 4" sheetId="18" r:id="rId18"/>
    <sheet name="Investments" sheetId="19" r:id="rId19"/>
    <sheet name="Investment Gains (Losses) " sheetId="20" r:id="rId20"/>
    <sheet name="Capital Structure" sheetId="21" r:id="rId21"/>
    <sheet name="Earnings per share " sheetId="22" r:id="rId22"/>
    <sheet name="Reconciliation Non-GAAP" sheetId="23" r:id="rId23"/>
    <sheet name="Reconciliation Book Value" sheetId="24" r:id="rId24"/>
    <sheet name="Comprehensive Income" sheetId="25" r:id="rId25"/>
    <sheet name="Glossary" sheetId="26" r:id="rId26"/>
  </sheets>
  <definedNames>
    <definedName name="_xlnm.Print_Area" localSheetId="20">'Capital Structure'!$A$1:$L$31</definedName>
    <definedName name="_xlnm.Print_Area" localSheetId="24">'Comprehensive Income'!$A$1:$R$20</definedName>
    <definedName name="_xlnm.Print_Area" localSheetId="4">'Consol Bal Sheet'!$A$1:$N$52</definedName>
    <definedName name="_xlnm.Print_Area" localSheetId="3">'Consolidated Results'!$A$1:$S$54</definedName>
    <definedName name="_xlnm.Print_Area" localSheetId="0">'Cover'!$A$1:$N$29</definedName>
    <definedName name="_xlnm.Print_Area" localSheetId="21">'Earnings per share '!$A$1:$J$41</definedName>
    <definedName name="_xlnm.Print_Area" localSheetId="2">'Financial Highlights'!$A$1:$P$50</definedName>
    <definedName name="_xlnm.Print_Area" localSheetId="10">'Global Reinsurance '!$A$1:$S$38</definedName>
    <definedName name="_xlnm.Print_Area" localSheetId="11">'Global Reinsurance 2'!$A$1:$S$46</definedName>
    <definedName name="_xlnm.Print_Area" localSheetId="25">'Glossary'!$A$1:$G$34</definedName>
    <definedName name="_xlnm.Print_Area" localSheetId="8">'Insurance-North American '!$A$1:$R$46</definedName>
    <definedName name="_xlnm.Print_Area" localSheetId="9">'Insurance-Overseas General '!$A$1:$S$46</definedName>
    <definedName name="_xlnm.Print_Area" localSheetId="19">'Investment Gains (Losses) '!$A$1:$Q$42</definedName>
    <definedName name="_xlnm.Print_Area" localSheetId="18">'Investments'!$A$1:$M$46</definedName>
    <definedName name="_xlnm.Print_Area" localSheetId="12">'Life'!$A$1:$S$28</definedName>
    <definedName name="_xlnm.Print_Area" localSheetId="5">'Line of Business '!$A$1:$W$28</definedName>
    <definedName name="_xlnm.Print_Area" localSheetId="13">'Loss Reserve Rollforward'!$A$1:$N$49</definedName>
    <definedName name="_xlnm.Print_Area" localSheetId="23">'Reconciliation Book Value'!$A$1:$K$22</definedName>
    <definedName name="_xlnm.Print_Area" localSheetId="22">'Reconciliation Non-GAAP'!$A$1:$N$21</definedName>
    <definedName name="_xlnm.Print_Area" localSheetId="15">'Reinsurance Rec-Active'!$A$1:$J$45</definedName>
    <definedName name="_xlnm.Print_Area" localSheetId="16">'Reinsurance Rec-Consolidated'!$A$1:$J$44</definedName>
    <definedName name="_xlnm.Print_Area" localSheetId="14">'Reinsurance Recoverable'!$A$1:$L$43</definedName>
    <definedName name="_xlnm.Print_Area" localSheetId="17">'Reinsurance Recoverable 4'!$A$1:$K$34</definedName>
    <definedName name="_xlnm.Print_Area" localSheetId="6">'Segment  2007 Qtr'!$A$1:$R$51</definedName>
    <definedName name="_xlnm.Print_Area" localSheetId="7">'Segment  2007 YTD'!$A$1:$R$55</definedName>
    <definedName name="_xlnm.Print_Area" localSheetId="1">'Table of Contents'!$A$1:$F$34</definedName>
    <definedName name="_xlnm.Print_Titles" localSheetId="1">'Table of Contents'!$1:$4</definedName>
    <definedName name="Z_B1C67769_00E4_4820_A414_9C5F6475FA36_.wvu.Cols" localSheetId="24" hidden="1">'Comprehensive Income'!#REF!</definedName>
    <definedName name="Z_B1C67769_00E4_4820_A414_9C5F6475FA36_.wvu.Cols" localSheetId="3" hidden="1">'Consolidated Results'!$V:$V</definedName>
    <definedName name="Z_B1C67769_00E4_4820_A414_9C5F6475FA36_.wvu.Cols" localSheetId="12" hidden="1">'Life'!#REF!</definedName>
    <definedName name="Z_B1C67769_00E4_4820_A414_9C5F6475FA36_.wvu.PrintArea" localSheetId="20" hidden="1">'Capital Structure'!$A$1:$L$31</definedName>
    <definedName name="Z_B1C67769_00E4_4820_A414_9C5F6475FA36_.wvu.PrintArea" localSheetId="24" hidden="1">'Comprehensive Income'!$A$1:$Q$19</definedName>
    <definedName name="Z_B1C67769_00E4_4820_A414_9C5F6475FA36_.wvu.PrintArea" localSheetId="4" hidden="1">'Consol Bal Sheet'!$A$1:$Q$52</definedName>
    <definedName name="Z_B1C67769_00E4_4820_A414_9C5F6475FA36_.wvu.PrintArea" localSheetId="3" hidden="1">'Consolidated Results'!$B$1:$T$37</definedName>
    <definedName name="Z_B1C67769_00E4_4820_A414_9C5F6475FA36_.wvu.PrintArea" localSheetId="0" hidden="1">'Cover'!$A$1:$N$30</definedName>
    <definedName name="Z_B1C67769_00E4_4820_A414_9C5F6475FA36_.wvu.PrintArea" localSheetId="21" hidden="1">'Earnings per share '!$A$1:$H$41</definedName>
    <definedName name="Z_B1C67769_00E4_4820_A414_9C5F6475FA36_.wvu.PrintArea" localSheetId="2" hidden="1">'Financial Highlights'!$B$1:$O$50</definedName>
    <definedName name="Z_B1C67769_00E4_4820_A414_9C5F6475FA36_.wvu.PrintArea" localSheetId="10" hidden="1">'Global Reinsurance '!$A$1:$S$38</definedName>
    <definedName name="Z_B1C67769_00E4_4820_A414_9C5F6475FA36_.wvu.PrintArea" localSheetId="11" hidden="1">'Global Reinsurance 2'!$A$1:$S$45</definedName>
    <definedName name="Z_B1C67769_00E4_4820_A414_9C5F6475FA36_.wvu.PrintArea" localSheetId="25" hidden="1">'Glossary'!$A$1:$G$33</definedName>
    <definedName name="Z_B1C67769_00E4_4820_A414_9C5F6475FA36_.wvu.PrintArea" localSheetId="8" hidden="1">'Insurance-North American '!$A$1:$S$45</definedName>
    <definedName name="Z_B1C67769_00E4_4820_A414_9C5F6475FA36_.wvu.PrintArea" localSheetId="9" hidden="1">'Insurance-Overseas General '!$A$1:$S$46</definedName>
    <definedName name="Z_B1C67769_00E4_4820_A414_9C5F6475FA36_.wvu.PrintArea" localSheetId="19" hidden="1">'Investment Gains (Losses) '!$A$1:$K$43</definedName>
    <definedName name="Z_B1C67769_00E4_4820_A414_9C5F6475FA36_.wvu.PrintArea" localSheetId="18" hidden="1">'Investments'!$B$1:$S$46</definedName>
    <definedName name="Z_B1C67769_00E4_4820_A414_9C5F6475FA36_.wvu.PrintArea" localSheetId="12" hidden="1">'Life'!$B$1:$S$25</definedName>
    <definedName name="Z_B1C67769_00E4_4820_A414_9C5F6475FA36_.wvu.PrintArea" localSheetId="5" hidden="1">'Line of Business '!$A$1:$Q$27</definedName>
    <definedName name="Z_B1C67769_00E4_4820_A414_9C5F6475FA36_.wvu.PrintArea" localSheetId="13" hidden="1">'Loss Reserve Rollforward'!$B$1:$N$17</definedName>
    <definedName name="Z_B1C67769_00E4_4820_A414_9C5F6475FA36_.wvu.PrintArea" localSheetId="23" hidden="1">'Reconciliation Book Value'!$A$1:$J$22</definedName>
    <definedName name="Z_B1C67769_00E4_4820_A414_9C5F6475FA36_.wvu.PrintArea" localSheetId="22" hidden="1">'Reconciliation Non-GAAP'!$A$1:$L$19</definedName>
    <definedName name="Z_B1C67769_00E4_4820_A414_9C5F6475FA36_.wvu.PrintArea" localSheetId="15" hidden="1">'Reinsurance Rec-Active'!$A$1:$J$25</definedName>
    <definedName name="Z_B1C67769_00E4_4820_A414_9C5F6475FA36_.wvu.PrintArea" localSheetId="16" hidden="1">'Reinsurance Rec-Consolidated'!$A$1:$L$45</definedName>
    <definedName name="Z_B1C67769_00E4_4820_A414_9C5F6475FA36_.wvu.PrintArea" localSheetId="14" hidden="1">'Reinsurance Recoverable'!$A$1:$N$48</definedName>
    <definedName name="Z_B1C67769_00E4_4820_A414_9C5F6475FA36_.wvu.PrintArea" localSheetId="17" hidden="1">'Reinsurance Recoverable 4'!$A$1:$K$51</definedName>
    <definedName name="Z_B1C67769_00E4_4820_A414_9C5F6475FA36_.wvu.PrintArea" localSheetId="6" hidden="1">'Segment  2007 Qtr'!$A$1:$R$51</definedName>
    <definedName name="Z_B1C67769_00E4_4820_A414_9C5F6475FA36_.wvu.PrintArea" localSheetId="7" hidden="1">'Segment  2007 YTD'!$A$1:$R$55</definedName>
  </definedNames>
  <calcPr fullCalcOnLoad="1"/>
</workbook>
</file>

<file path=xl/sharedStrings.xml><?xml version="1.0" encoding="utf-8"?>
<sst xmlns="http://schemas.openxmlformats.org/spreadsheetml/2006/main" count="1125" uniqueCount="531">
  <si>
    <t>- Net Realized and Unrealized Gains (Losses)</t>
  </si>
  <si>
    <t>Net Realized and Unrealized Gains (Losses)</t>
  </si>
  <si>
    <t>Large losses and other items (before tax)</t>
  </si>
  <si>
    <t>Comprehensive income</t>
  </si>
  <si>
    <t>Basic earnings per share</t>
  </si>
  <si>
    <t xml:space="preserve">   Net income </t>
  </si>
  <si>
    <t xml:space="preserve">Total </t>
  </si>
  <si>
    <t xml:space="preserve">Net investment income </t>
  </si>
  <si>
    <t>Total NPW/GPW</t>
  </si>
  <si>
    <t xml:space="preserve">   Total debt</t>
  </si>
  <si>
    <t>Credit Quality by Market Value</t>
  </si>
  <si>
    <t>- Consolidated Premiums by Line of Business</t>
  </si>
  <si>
    <t>Other FAS 133 adjustments</t>
  </si>
  <si>
    <t>% Change versus prior year period</t>
  </si>
  <si>
    <t>Other ratios</t>
  </si>
  <si>
    <t>Property and all other</t>
  </si>
  <si>
    <t>- Consolidated Financial Highlights</t>
  </si>
  <si>
    <t>Full Year</t>
  </si>
  <si>
    <t xml:space="preserve">Net premiums earned </t>
  </si>
  <si>
    <t>Annualized ROE*</t>
  </si>
  <si>
    <t>Non-GAAP Financial Measures</t>
  </si>
  <si>
    <t>- Non-GAAP Financial Measures</t>
  </si>
  <si>
    <r>
      <t xml:space="preserve">FAS 115:  </t>
    </r>
    <r>
      <rPr>
        <sz val="8"/>
        <rFont val="News Gothic"/>
        <family val="0"/>
      </rPr>
      <t>U</t>
    </r>
    <r>
      <rPr>
        <sz val="8"/>
        <rFont val="News Gothic"/>
        <family val="2"/>
      </rPr>
      <t>nrealized gains (losses) on investments and the deferred tax component included in shareholders' equity.</t>
    </r>
  </si>
  <si>
    <r>
      <t xml:space="preserve">Life underwriting income:  </t>
    </r>
    <r>
      <rPr>
        <sz val="8"/>
        <rFont val="News Gothic"/>
        <family val="0"/>
      </rPr>
      <t>N</t>
    </r>
    <r>
      <rPr>
        <sz val="8"/>
        <rFont val="News Gothic"/>
        <family val="2"/>
      </rPr>
      <t>et premium earned and net investment income less future policy benefits, acquisition costs and administrative expenses.</t>
    </r>
  </si>
  <si>
    <r>
      <t>NM:</t>
    </r>
    <r>
      <rPr>
        <sz val="8"/>
        <rFont val="News Gothic"/>
        <family val="2"/>
      </rPr>
      <t xml:space="preserve">  Not meaningful.</t>
    </r>
  </si>
  <si>
    <r>
      <t xml:space="preserve">Ordinary shareholders' equity: </t>
    </r>
    <r>
      <rPr>
        <sz val="8"/>
        <rFont val="News Gothic"/>
        <family val="0"/>
      </rPr>
      <t xml:space="preserve"> S</t>
    </r>
    <r>
      <rPr>
        <sz val="8"/>
        <rFont val="News Gothic"/>
        <family val="2"/>
      </rPr>
      <t>hareholders' equity less perpetual preferred shares.</t>
    </r>
  </si>
  <si>
    <r>
      <t xml:space="preserve">Tangible equity:  </t>
    </r>
    <r>
      <rPr>
        <sz val="8"/>
        <rFont val="News Gothic"/>
        <family val="0"/>
      </rPr>
      <t>S</t>
    </r>
    <r>
      <rPr>
        <sz val="8"/>
        <rFont val="News Gothic"/>
        <family val="2"/>
      </rPr>
      <t>hareholders' equity less goodwill.</t>
    </r>
  </si>
  <si>
    <t>I.</t>
  </si>
  <si>
    <t>II.</t>
  </si>
  <si>
    <t>Consolidated Results</t>
  </si>
  <si>
    <t>III.</t>
  </si>
  <si>
    <t>Segment Results</t>
  </si>
  <si>
    <t>IV.</t>
  </si>
  <si>
    <t>Balance Sheet Details</t>
  </si>
  <si>
    <t>V.</t>
  </si>
  <si>
    <t>Less: goodwill</t>
  </si>
  <si>
    <t>- Global Reinsurance</t>
  </si>
  <si>
    <t>Net Reinsurance Recoverable by Division</t>
  </si>
  <si>
    <t>Debt plus total preferred stock/ total capitalization</t>
  </si>
  <si>
    <t>- Computation of Basic and Diluted Earnings Per Share</t>
  </si>
  <si>
    <t>- Summary Consolidated Balance Sheets</t>
  </si>
  <si>
    <t xml:space="preserve">  Unrealized appreciation (depreciation) on investments</t>
  </si>
  <si>
    <t>- Consolidated Results - Consecutive Quarters</t>
  </si>
  <si>
    <t>Total shareholders' equity, excl. AOCI</t>
  </si>
  <si>
    <t xml:space="preserve">    Total shareholders' equity</t>
  </si>
  <si>
    <t>Regulation G - Non-GAAP Financial Measures</t>
  </si>
  <si>
    <t xml:space="preserve">     included in net income</t>
  </si>
  <si>
    <t>Leverage ratios</t>
  </si>
  <si>
    <t>Ceded</t>
  </si>
  <si>
    <r>
      <t>Run-off</t>
    </r>
    <r>
      <rPr>
        <b/>
        <vertAlign val="superscript"/>
        <sz val="8"/>
        <rFont val="News Gothic"/>
        <family val="2"/>
      </rPr>
      <t xml:space="preserve"> (1)</t>
    </r>
  </si>
  <si>
    <t>- Capital Structure</t>
  </si>
  <si>
    <t>- Investment Portfolio</t>
  </si>
  <si>
    <t>Accumulated other comprehensive income (AOCI)</t>
  </si>
  <si>
    <t>Net premiums written/gross premiums written</t>
  </si>
  <si>
    <t xml:space="preserve">   Combined ratio</t>
  </si>
  <si>
    <t xml:space="preserve">   Underwriting income</t>
  </si>
  <si>
    <t xml:space="preserve">   Adj. wtd. avg. shares outstanding and assumed conversions</t>
  </si>
  <si>
    <t xml:space="preserve">   Underwriting income (loss)</t>
  </si>
  <si>
    <t xml:space="preserve">   Net income (loss)</t>
  </si>
  <si>
    <t xml:space="preserve">   Total</t>
  </si>
  <si>
    <t xml:space="preserve">Treasury </t>
  </si>
  <si>
    <t>Agency</t>
  </si>
  <si>
    <t xml:space="preserve">Corporate </t>
  </si>
  <si>
    <t>Mortgage-backed securities</t>
  </si>
  <si>
    <t>Asset-backed securities</t>
  </si>
  <si>
    <t>Municipal</t>
  </si>
  <si>
    <t xml:space="preserve">   Total shareholders' equity</t>
  </si>
  <si>
    <t xml:space="preserve">   Other comprehensive income (loss)</t>
  </si>
  <si>
    <t xml:space="preserve">Cautionary Statement Regarding Forward-Looking Statements: 
</t>
  </si>
  <si>
    <t>Total liabilities and shareholders' equity</t>
  </si>
  <si>
    <t>Helen M. Wilson</t>
  </si>
  <si>
    <t>AA</t>
  </si>
  <si>
    <t>Consolidating Statement of Operations</t>
  </si>
  <si>
    <t xml:space="preserve">Fixed maturities available for sale, at fair value </t>
  </si>
  <si>
    <t>Equity securities, at fair value</t>
  </si>
  <si>
    <t>Segment Results - Consecutive Quarters</t>
  </si>
  <si>
    <t>Ongoing</t>
  </si>
  <si>
    <t>Total short-term debt</t>
  </si>
  <si>
    <t>Fixed maturities</t>
  </si>
  <si>
    <t>Equity securities</t>
  </si>
  <si>
    <t xml:space="preserve">Weighted average diluted ordinary shares outstanding </t>
  </si>
  <si>
    <t>Insurance - Overseas General</t>
  </si>
  <si>
    <t>Total capitalization</t>
  </si>
  <si>
    <t>BB</t>
  </si>
  <si>
    <t>Corporate</t>
  </si>
  <si>
    <t>Short-term investments</t>
  </si>
  <si>
    <t>Net</t>
  </si>
  <si>
    <t>Losses and loss expenses incurred</t>
  </si>
  <si>
    <t>Losses and loss expenses paid</t>
  </si>
  <si>
    <t>ACE Limited</t>
  </si>
  <si>
    <t>ACE</t>
  </si>
  <si>
    <t>North</t>
  </si>
  <si>
    <t>Overseas</t>
  </si>
  <si>
    <t>Global</t>
  </si>
  <si>
    <t>General</t>
  </si>
  <si>
    <t>Reinsurance</t>
  </si>
  <si>
    <t>Consolidated</t>
  </si>
  <si>
    <t>Cash</t>
  </si>
  <si>
    <t>Insurance and reinsurance balances receivable</t>
  </si>
  <si>
    <t>Reinsurance recoverable</t>
  </si>
  <si>
    <t>Deferred policy acquisition costs</t>
  </si>
  <si>
    <t>Prepaid reinsurance premiums</t>
  </si>
  <si>
    <t>Goodwill</t>
  </si>
  <si>
    <t>Deferred tax assets</t>
  </si>
  <si>
    <t>Other assets</t>
  </si>
  <si>
    <t>Unpaid losses and loss expenses</t>
  </si>
  <si>
    <t>Unearned premiums</t>
  </si>
  <si>
    <t>Future policy benefits for life and annuity contracts</t>
  </si>
  <si>
    <t>Insurance and reinsurance balances payable</t>
  </si>
  <si>
    <t>Accounts payable, accrued expenses and other liabilities</t>
  </si>
  <si>
    <t>Short-term debt</t>
  </si>
  <si>
    <t>Long-term debt</t>
  </si>
  <si>
    <t>Trust preferred securities</t>
  </si>
  <si>
    <t xml:space="preserve">   Total liabilities</t>
  </si>
  <si>
    <t>Shareholders' equity</t>
  </si>
  <si>
    <t xml:space="preserve">   Income excluding net realized gains (losses)</t>
  </si>
  <si>
    <t>Global Reinsurance</t>
  </si>
  <si>
    <t>Total</t>
  </si>
  <si>
    <t>Life and annuity benefits</t>
  </si>
  <si>
    <t>Losses and loss expenses</t>
  </si>
  <si>
    <t>Life</t>
  </si>
  <si>
    <t>Net investment income</t>
  </si>
  <si>
    <t>Income tax expense</t>
  </si>
  <si>
    <t>Loss and loss expense ratio</t>
  </si>
  <si>
    <t>Gross premiums written</t>
  </si>
  <si>
    <t>Net premiums written</t>
  </si>
  <si>
    <t>Net premiums earned</t>
  </si>
  <si>
    <t>Administrative expenses</t>
  </si>
  <si>
    <t>Combined ratio</t>
  </si>
  <si>
    <t>Policy acquisition costs</t>
  </si>
  <si>
    <t>Policy acquisition cost ratio</t>
  </si>
  <si>
    <t>Market Value per Balance Sheet</t>
  </si>
  <si>
    <t>Cost</t>
  </si>
  <si>
    <t>Income tax (expense) benefit related to other comprehensive</t>
  </si>
  <si>
    <t xml:space="preserve">    income items</t>
  </si>
  <si>
    <t>Assets</t>
  </si>
  <si>
    <t>Liabilities</t>
  </si>
  <si>
    <t>Asset Allocation by Market Value</t>
  </si>
  <si>
    <t>Administrative expense ratio</t>
  </si>
  <si>
    <t>Interest expense</t>
  </si>
  <si>
    <t>Financial Highlights</t>
  </si>
  <si>
    <t>Other</t>
  </si>
  <si>
    <t>AAA</t>
  </si>
  <si>
    <t xml:space="preserve">AA </t>
  </si>
  <si>
    <t>A</t>
  </si>
  <si>
    <t>BBB</t>
  </si>
  <si>
    <t>B</t>
  </si>
  <si>
    <t>(in millions of U.S. dollars)</t>
  </si>
  <si>
    <t>Gross</t>
  </si>
  <si>
    <t>Page</t>
  </si>
  <si>
    <t>Consolidated Statements of Operations</t>
  </si>
  <si>
    <t>Income tax expense (benefit)</t>
  </si>
  <si>
    <t>Financial Supplement Table of Contents</t>
  </si>
  <si>
    <t>Net reinsurance recoverable</t>
  </si>
  <si>
    <t>Capital Structure</t>
  </si>
  <si>
    <t>Insurance -</t>
  </si>
  <si>
    <t>American</t>
  </si>
  <si>
    <t>Securities lending collateral</t>
  </si>
  <si>
    <t>&amp; Other</t>
  </si>
  <si>
    <t>% Change</t>
  </si>
  <si>
    <t>Unpaid Losses</t>
  </si>
  <si>
    <t>Summary Consolidated Balance Sheets</t>
  </si>
  <si>
    <t>Computation of Basic and Diluted Earnings Per Share</t>
  </si>
  <si>
    <t>(Unaudited)</t>
  </si>
  <si>
    <t>ACE Limited Consolidated</t>
  </si>
  <si>
    <t>Operating cash flow</t>
  </si>
  <si>
    <t xml:space="preserve">Net realized gains (losses) </t>
  </si>
  <si>
    <t xml:space="preserve">Loss and loss expense ratio </t>
  </si>
  <si>
    <t xml:space="preserve">Policy acquisition cost ratio </t>
  </si>
  <si>
    <t xml:space="preserve">Administrative expense ratio </t>
  </si>
  <si>
    <t xml:space="preserve">Net Realized </t>
  </si>
  <si>
    <t xml:space="preserve">Net Unrealized </t>
  </si>
  <si>
    <t>Impact</t>
  </si>
  <si>
    <t xml:space="preserve">    Total assets</t>
  </si>
  <si>
    <t>Gross reinsurance recoverable</t>
  </si>
  <si>
    <t>Underwriting and administrative expense ratio</t>
  </si>
  <si>
    <t>Equity and fixed income derivatives</t>
  </si>
  <si>
    <t xml:space="preserve">  Total</t>
  </si>
  <si>
    <t>Perpetual preferred dividend</t>
  </si>
  <si>
    <t>Net realized gains (losses), net of income tax</t>
  </si>
  <si>
    <t>Issued under employee stock purchase plan</t>
  </si>
  <si>
    <t>Insurance - North American</t>
  </si>
  <si>
    <t>- Loss Reserve Rollforward</t>
  </si>
  <si>
    <t>- Reinsurance Recoverable Analysis</t>
  </si>
  <si>
    <t>- Glossary</t>
  </si>
  <si>
    <t>Issued for option exercises</t>
  </si>
  <si>
    <t>Weighted average shares outstanding</t>
  </si>
  <si>
    <t>Effect of other dilutive securities</t>
  </si>
  <si>
    <t>Loss Reserve Rollforward</t>
  </si>
  <si>
    <t>Reinsurance Recoverable Analysis</t>
  </si>
  <si>
    <t>Reconciliation to Loss Reserve Rollforward</t>
  </si>
  <si>
    <t>- Comprehensive Income</t>
  </si>
  <si>
    <t>Investment Portfolio</t>
  </si>
  <si>
    <t>Foreign exchange gains (losses)</t>
  </si>
  <si>
    <t>NM</t>
  </si>
  <si>
    <t>Total gains (losses)</t>
  </si>
  <si>
    <t>Debt/ tangible equity</t>
  </si>
  <si>
    <t>Debt/ total capitalization</t>
  </si>
  <si>
    <t>Net realized gains (losses)</t>
  </si>
  <si>
    <t>Other investments</t>
  </si>
  <si>
    <t xml:space="preserve"> </t>
  </si>
  <si>
    <t>Glossary</t>
  </si>
  <si>
    <t>Avg. market yield of fixed maturities</t>
  </si>
  <si>
    <t>Avg. credit quality</t>
  </si>
  <si>
    <t>P&amp;C</t>
  </si>
  <si>
    <t>(in millions of U.S. dollars, except share and per share data)</t>
  </si>
  <si>
    <t xml:space="preserve">   Net income</t>
  </si>
  <si>
    <t>December 31</t>
  </si>
  <si>
    <t>March 31</t>
  </si>
  <si>
    <t>Numerator</t>
  </si>
  <si>
    <t>Denominator</t>
  </si>
  <si>
    <t xml:space="preserve">% of </t>
  </si>
  <si>
    <t>Other Disclosures</t>
  </si>
  <si>
    <t xml:space="preserve">Fax: (441) 292-8675   </t>
  </si>
  <si>
    <t xml:space="preserve">Phone: (441) 299-9283             </t>
  </si>
  <si>
    <t>email:  investorrelations@ace.bm</t>
  </si>
  <si>
    <t>- Consolidating Statement of Operations</t>
  </si>
  <si>
    <t>Ordinary shareholders' equity</t>
  </si>
  <si>
    <t>Deposit liabilities</t>
  </si>
  <si>
    <t>Consolidated Premiums by Line of Business</t>
  </si>
  <si>
    <t>Book value per ordinary share</t>
  </si>
  <si>
    <t>Consolidated Financial Highlights</t>
  </si>
  <si>
    <t>Consolidated Results - Consecutive Quarters</t>
  </si>
  <si>
    <t>Global Reinsurance - By Division</t>
  </si>
  <si>
    <t>Market Value</t>
  </si>
  <si>
    <t xml:space="preserve">   Subtotal</t>
  </si>
  <si>
    <t>Total P&amp;C</t>
  </si>
  <si>
    <t>Total Consolidated</t>
  </si>
  <si>
    <t>Consolidated Statement of Comprehensive Income</t>
  </si>
  <si>
    <t>Net unrealized appreciation (depreciation) on investments</t>
  </si>
  <si>
    <t>Investor Contact</t>
  </si>
  <si>
    <t>Large losses and other items</t>
  </si>
  <si>
    <t>Casualty</t>
  </si>
  <si>
    <t xml:space="preserve">  Reclassification adjustment for net realized gains (losses)</t>
  </si>
  <si>
    <t xml:space="preserve">Gains  </t>
  </si>
  <si>
    <r>
      <t xml:space="preserve">(Losses) </t>
    </r>
    <r>
      <rPr>
        <b/>
        <sz val="6"/>
        <rFont val="News Gothic"/>
        <family val="2"/>
      </rPr>
      <t>(1)</t>
    </r>
  </si>
  <si>
    <t>(Losses)</t>
  </si>
  <si>
    <t xml:space="preserve">   Total inv. portfolio gains (losses)</t>
  </si>
  <si>
    <t xml:space="preserve">   Total gains (losses)</t>
  </si>
  <si>
    <t xml:space="preserve">   Net gains (losses)</t>
  </si>
  <si>
    <t>Comprehensive Income</t>
  </si>
  <si>
    <t>Segment Results - Consecutive Quarters - 2</t>
  </si>
  <si>
    <t>Cost/Amortized Cost</t>
  </si>
  <si>
    <t>(in millions of U.S. dollars, except per share data)</t>
  </si>
  <si>
    <t xml:space="preserve">    Total investments </t>
  </si>
  <si>
    <t>Other (income) expense</t>
  </si>
  <si>
    <t>Tax expense (benefit) on net realized gains (losses)</t>
  </si>
  <si>
    <r>
      <t>Total long-term debt</t>
    </r>
    <r>
      <rPr>
        <vertAlign val="superscript"/>
        <sz val="8"/>
        <rFont val="News Gothic"/>
        <family val="0"/>
      </rPr>
      <t xml:space="preserve"> </t>
    </r>
  </si>
  <si>
    <r>
      <t xml:space="preserve">   Income (loss) excluding net realized gains (losses) </t>
    </r>
    <r>
      <rPr>
        <vertAlign val="superscript"/>
        <sz val="8"/>
        <rFont val="News Gothic"/>
        <family val="2"/>
      </rPr>
      <t>(1)</t>
    </r>
  </si>
  <si>
    <r>
      <t xml:space="preserve">   Income excluding net realized gains (losses) </t>
    </r>
    <r>
      <rPr>
        <vertAlign val="superscript"/>
        <sz val="8"/>
        <rFont val="News Gothic"/>
        <family val="2"/>
      </rPr>
      <t>(1)</t>
    </r>
  </si>
  <si>
    <t>Annualized ROE, excluding FAS 115*</t>
  </si>
  <si>
    <t>Active operations</t>
  </si>
  <si>
    <t>Brandywine</t>
  </si>
  <si>
    <t>Net income</t>
  </si>
  <si>
    <t>AOCI</t>
  </si>
  <si>
    <t>YTD</t>
  </si>
  <si>
    <t>QTR</t>
  </si>
  <si>
    <t>(in millions of U.S. dollars, except share, per share data and ratios)</t>
  </si>
  <si>
    <t xml:space="preserve">Brandywine </t>
  </si>
  <si>
    <t>2005</t>
  </si>
  <si>
    <t xml:space="preserve">Active operations </t>
  </si>
  <si>
    <r>
      <t xml:space="preserve">Tangible shareholders' equity </t>
    </r>
    <r>
      <rPr>
        <vertAlign val="superscript"/>
        <sz val="8"/>
        <rFont val="News Gothic"/>
        <family val="2"/>
      </rPr>
      <t>(1)</t>
    </r>
  </si>
  <si>
    <t>(1)  Tangible equity is equal to shareholders' equity less goodwill.</t>
  </si>
  <si>
    <t>Investments in partially owned insurance companies</t>
  </si>
  <si>
    <t>Securities lending payable</t>
  </si>
  <si>
    <t>Fixed maturities held to maturity, at amortized cost</t>
  </si>
  <si>
    <r>
      <t xml:space="preserve">Total capitalization:  </t>
    </r>
    <r>
      <rPr>
        <sz val="8"/>
        <rFont val="News Gothic"/>
        <family val="0"/>
      </rPr>
      <t>S</t>
    </r>
    <r>
      <rPr>
        <sz val="8"/>
        <rFont val="News Gothic"/>
        <family val="2"/>
      </rPr>
      <t>hort-term debt, long-term debt, trust preferreds, perpetual preferred shares and shareholders' equity.</t>
    </r>
  </si>
  <si>
    <t>Reinsurance Recoverable for Active Operations</t>
  </si>
  <si>
    <t>Categories</t>
  </si>
  <si>
    <t>Recoverable</t>
  </si>
  <si>
    <t>% of Gross</t>
  </si>
  <si>
    <t>Top 10 reinsurers</t>
  </si>
  <si>
    <t>Other reinsurers balances &gt;$20 million</t>
  </si>
  <si>
    <t>Other reinsurers balances &lt;$20 million</t>
  </si>
  <si>
    <t>Mandatory pools and government agencies</t>
  </si>
  <si>
    <t>Structured settlements</t>
  </si>
  <si>
    <t>Captives</t>
  </si>
  <si>
    <r>
      <t>Other</t>
    </r>
    <r>
      <rPr>
        <vertAlign val="superscript"/>
        <sz val="8"/>
        <rFont val="News Gothic"/>
        <family val="2"/>
      </rPr>
      <t>(1)</t>
    </r>
  </si>
  <si>
    <r>
      <t xml:space="preserve">Top 10 Reinsurers (net of collateral) </t>
    </r>
    <r>
      <rPr>
        <b/>
        <u val="single"/>
        <vertAlign val="superscript"/>
        <sz val="8"/>
        <rFont val="News Gothic"/>
        <family val="0"/>
      </rPr>
      <t>(2)</t>
    </r>
  </si>
  <si>
    <r>
      <t xml:space="preserve">Other Reinsurers Balances Greater Than $20 million (net of collateral) </t>
    </r>
    <r>
      <rPr>
        <b/>
        <u val="single"/>
        <vertAlign val="superscript"/>
        <sz val="8"/>
        <rFont val="News Gothic"/>
        <family val="0"/>
      </rPr>
      <t>(2)</t>
    </r>
  </si>
  <si>
    <t>Detail on Reinsurance Recoverable on Paid Losses and Loss Expenses</t>
  </si>
  <si>
    <r>
      <t xml:space="preserve">General Collections </t>
    </r>
    <r>
      <rPr>
        <b/>
        <vertAlign val="superscript"/>
        <sz val="8"/>
        <rFont val="News Gothic"/>
        <family val="2"/>
      </rPr>
      <t>(1)</t>
    </r>
  </si>
  <si>
    <r>
      <t>Other</t>
    </r>
    <r>
      <rPr>
        <b/>
        <vertAlign val="superscript"/>
        <sz val="8"/>
        <rFont val="News Gothic"/>
        <family val="2"/>
      </rPr>
      <t xml:space="preserve"> (2)</t>
    </r>
  </si>
  <si>
    <t>% of gross</t>
  </si>
  <si>
    <t>Consolidated Reinsurance Recoverable</t>
  </si>
  <si>
    <t>Fixed maturities available for sale</t>
  </si>
  <si>
    <t>Fixed maturities held to maturity</t>
  </si>
  <si>
    <t>Avg. duration of fixed maturities, adjusted for int. rate swaps</t>
  </si>
  <si>
    <t>Partially owned insurance companies - MARKET</t>
  </si>
  <si>
    <t>Partially owned insurance companies - Cost</t>
  </si>
  <si>
    <t>Held to maturity</t>
  </si>
  <si>
    <t>Total other at cost</t>
  </si>
  <si>
    <t>The Company's forward-looking statements could also be affected by competition, pricing and policy term trends, the levels of new and renewal business achieved, market acceptance, changes in demand, actual market developments, rating agency action, possible terrorism or the outbreak and effects of war.  Readers are cautioned not to place undue reliance on these forward-looking statements, which speak only as of the dates on which they are made.  The Company undertakes no obligation to publicly update or revise any forward-looking statements, whether as a result of new information, future events or otherwise.</t>
  </si>
  <si>
    <t xml:space="preserve">Weighted average basic ordinary shares outstanding </t>
  </si>
  <si>
    <t>Life underwriting income excluding investment income</t>
  </si>
  <si>
    <t>Catastrophe and other large losses (before tax)</t>
  </si>
  <si>
    <t>Property and Casualty net premiums written</t>
  </si>
  <si>
    <t xml:space="preserve">Property and Casualty net premiums earned </t>
  </si>
  <si>
    <t>Balance at December 31, 2005</t>
  </si>
  <si>
    <t>Diluted earnings per share</t>
  </si>
  <si>
    <t xml:space="preserve">   Other (incl. foreign exch. revaluation)</t>
  </si>
  <si>
    <t>Tangible book value per ordinary share</t>
  </si>
  <si>
    <t>Book Value per Ordinary Share</t>
  </si>
  <si>
    <t>Reconciliation of Book Value per Ordinary Share</t>
  </si>
  <si>
    <t>Numerator for book value per share calculation</t>
  </si>
  <si>
    <t xml:space="preserve">Numerator for tangible book value per share </t>
  </si>
  <si>
    <r>
      <t xml:space="preserve">Book value per ordinary share </t>
    </r>
    <r>
      <rPr>
        <b/>
        <vertAlign val="superscript"/>
        <sz val="8"/>
        <rFont val="News Gothic"/>
        <family val="2"/>
      </rPr>
      <t>(1)</t>
    </r>
  </si>
  <si>
    <r>
      <t xml:space="preserve">Tangible book value per ordinary share </t>
    </r>
    <r>
      <rPr>
        <b/>
        <vertAlign val="superscript"/>
        <sz val="8"/>
        <rFont val="News Gothic"/>
        <family val="2"/>
      </rPr>
      <t>(1)</t>
    </r>
  </si>
  <si>
    <r>
      <t xml:space="preserve">Tangible book value per ordinary share:  </t>
    </r>
    <r>
      <rPr>
        <sz val="8"/>
        <rFont val="News Gothic"/>
        <family val="0"/>
      </rPr>
      <t>O</t>
    </r>
    <r>
      <rPr>
        <sz val="8"/>
        <rFont val="News Gothic"/>
        <family val="2"/>
      </rPr>
      <t>rdinary shareholders' equity less goodwill divided by the shares outstanding.</t>
    </r>
  </si>
  <si>
    <r>
      <t>Book value per ordinary share:</t>
    </r>
    <r>
      <rPr>
        <sz val="8"/>
        <rFont val="News Gothic"/>
        <family val="0"/>
      </rPr>
      <t xml:space="preserve"> Ordinar</t>
    </r>
    <r>
      <rPr>
        <sz val="8"/>
        <rFont val="News Gothic"/>
        <family val="2"/>
      </rPr>
      <t>y shareholders' equity divided by the shares outstanding.</t>
    </r>
  </si>
  <si>
    <t>Life Insurance and Reinsurance</t>
  </si>
  <si>
    <t>Prior period development - unfavorable (favorable)</t>
  </si>
  <si>
    <t>- Book Value per Ordinary Share</t>
  </si>
  <si>
    <t>Income tax expense (benefit) on net realized gains (losses)</t>
  </si>
  <si>
    <t>(2) Excludes recoverable amounts from companies who are in supervision, rehabilitation or liquidation, or are captive reinsurers, mandatory pools or voluntary pools.</t>
  </si>
  <si>
    <t xml:space="preserve">Denominator </t>
  </si>
  <si>
    <r>
      <t xml:space="preserve">Combined ratio </t>
    </r>
    <r>
      <rPr>
        <b/>
        <vertAlign val="superscript"/>
        <sz val="8"/>
        <rFont val="News Gothic"/>
        <family val="2"/>
      </rPr>
      <t>(1)</t>
    </r>
  </si>
  <si>
    <r>
      <t xml:space="preserve">Large losses and other items </t>
    </r>
    <r>
      <rPr>
        <b/>
        <vertAlign val="superscript"/>
        <sz val="8"/>
        <rFont val="News Gothic"/>
        <family val="2"/>
      </rPr>
      <t>(1)</t>
    </r>
  </si>
  <si>
    <t>- Life Insurance and Reinsurance</t>
  </si>
  <si>
    <t>Balance at March 31, 2006</t>
  </si>
  <si>
    <t>2006</t>
  </si>
  <si>
    <t>(Audited)</t>
  </si>
  <si>
    <t>Payable for securities purchased</t>
  </si>
  <si>
    <t>Short-term investments, at fair value</t>
  </si>
  <si>
    <r>
      <t>% Change versus prior year period</t>
    </r>
    <r>
      <rPr>
        <b/>
        <vertAlign val="superscript"/>
        <sz val="8"/>
        <rFont val="News Gothic"/>
        <family val="2"/>
      </rPr>
      <t>(1)</t>
    </r>
  </si>
  <si>
    <t>Reinsurance Recoverable Analysis - 3</t>
  </si>
  <si>
    <t>Reinsurance Recoverable Analysis - 2</t>
  </si>
  <si>
    <t>Reinsurance Recoverable Analysis - 4</t>
  </si>
  <si>
    <t xml:space="preserve">   Net income available to the holders of ordinary shares</t>
  </si>
  <si>
    <r>
      <t xml:space="preserve">Income excluding net realized gains (losses) and cumulative effect </t>
    </r>
    <r>
      <rPr>
        <vertAlign val="superscript"/>
        <sz val="8"/>
        <rFont val="News Gothic"/>
        <family val="2"/>
      </rPr>
      <t>(1)</t>
    </r>
  </si>
  <si>
    <t>Other investments - unrealized booked to income</t>
  </si>
  <si>
    <t>Comp Income</t>
  </si>
  <si>
    <t>Unrealized g/l</t>
  </si>
  <si>
    <t>Reinsurance recoverable on paid losses and loss expenses</t>
  </si>
  <si>
    <t>Reinsurance recoverable on future policy benefits</t>
  </si>
  <si>
    <t xml:space="preserve">   Net income available to the holders of ordinary shares excluding cumulative effect</t>
  </si>
  <si>
    <t>Cumulative effect of a change in accounting principle, net of tax</t>
  </si>
  <si>
    <r>
      <t>Income excluding net realized gains (losses) and cumulative effect</t>
    </r>
    <r>
      <rPr>
        <vertAlign val="superscript"/>
        <sz val="8"/>
        <rFont val="News Gothic"/>
        <family val="2"/>
      </rPr>
      <t>(1)</t>
    </r>
  </si>
  <si>
    <t>Cumulative effect of a change in  accounting principle, net of tax</t>
  </si>
  <si>
    <t xml:space="preserve">   Income to ordinary shares, excl. net realized gains (losses) and cumulative effect</t>
  </si>
  <si>
    <t>This report is for informational purposes only.  It should be read in conjunction with documents filed by ACE Limited with the Securities and Exchange Commission, including the most recent Annual Report on Form 10-K and Quarterly Reports on Form 10-Q.</t>
  </si>
  <si>
    <t>Life Insurance</t>
  </si>
  <si>
    <t>&amp; Reinsurance</t>
  </si>
  <si>
    <t>Provision for uncollectible reinsurance</t>
  </si>
  <si>
    <t>Provision for uncollectible reinsurance on paid losses and loss expenses</t>
  </si>
  <si>
    <t>Provision</t>
  </si>
  <si>
    <t>* Calculated using income excluding net realized gains (losses) and cumulative effect of a change in accounting principle (cumulative effect)</t>
  </si>
  <si>
    <t>Reinsurance recoverable on unpaid losses and loss expenses</t>
  </si>
  <si>
    <t>Westchester Run-off</t>
  </si>
  <si>
    <t>Other Run-off</t>
  </si>
  <si>
    <t>Balance at June 30, 2006</t>
  </si>
  <si>
    <t>3Q-06</t>
  </si>
  <si>
    <t>Balance at September 30, 2006</t>
  </si>
  <si>
    <t>September 30</t>
  </si>
  <si>
    <t>Income taxes payable</t>
  </si>
  <si>
    <t>Financial Supplement</t>
  </si>
  <si>
    <t/>
  </si>
  <si>
    <t>Manual input</t>
  </si>
  <si>
    <t>4Q-06</t>
  </si>
  <si>
    <t>Balance at December 31, 2006</t>
  </si>
  <si>
    <t>Gross balance at December 31, 2006</t>
  </si>
  <si>
    <t>Provision at 12/31/06</t>
  </si>
  <si>
    <r>
      <t xml:space="preserve">P&amp;C: </t>
    </r>
    <r>
      <rPr>
        <sz val="8"/>
        <rFont val="News Gothic"/>
        <family val="2"/>
      </rPr>
      <t>Property and casualty.</t>
    </r>
  </si>
  <si>
    <t xml:space="preserve">  Net income</t>
  </si>
  <si>
    <r>
      <t xml:space="preserve">  Income excluding net realized gains (losses) and cumulative effect </t>
    </r>
    <r>
      <rPr>
        <vertAlign val="superscript"/>
        <sz val="8"/>
        <rFont val="News Gothic"/>
        <family val="2"/>
      </rPr>
      <t>(2)</t>
    </r>
  </si>
  <si>
    <t>Net income, as reported</t>
  </si>
  <si>
    <t>Income excluding net realized gains (losses) and cumulative effect</t>
  </si>
  <si>
    <t>3.3 years</t>
  </si>
  <si>
    <t>Property and Casualty</t>
  </si>
  <si>
    <r>
      <t xml:space="preserve">(2) </t>
    </r>
    <r>
      <rPr>
        <sz val="7"/>
        <rFont val="News Gothic"/>
        <family val="0"/>
      </rPr>
      <t>Excludes recoverable amounts from companies who are in supervision, rehabilitation or liquidation, or are captive reinsurers, mandatory pools or voluntary pools.</t>
    </r>
  </si>
  <si>
    <t xml:space="preserve">(1) General collections balances represent amounts in process of collection in the normal course of business, for which we have no indication of dispute or credit issues. </t>
  </si>
  <si>
    <t>(3) The current quarter split between general collections and other is estimated based on prior quarter balances.  Balances are adjusted to actual in the next quarter.</t>
  </si>
  <si>
    <t>1Q-07</t>
  </si>
  <si>
    <t>Balance at March 31, 2007</t>
  </si>
  <si>
    <t>Gross balance at March 31, 2007</t>
  </si>
  <si>
    <t>Provision at 3/31/07</t>
  </si>
  <si>
    <r>
      <t>Net balance at December 31, 2006</t>
    </r>
    <r>
      <rPr>
        <b/>
        <vertAlign val="superscript"/>
        <sz val="8"/>
        <rFont val="News Gothic"/>
        <family val="2"/>
      </rPr>
      <t xml:space="preserve"> </t>
    </r>
  </si>
  <si>
    <t>Non-U.S.</t>
  </si>
  <si>
    <t>2007</t>
  </si>
  <si>
    <t xml:space="preserve">In presenting our segment operating results, we have shown our performance with reference to underwriting results.  Underwriting results are calculated by subtracting losses and loss expenses, life and annuity benefits, policy acquisition costs, and administrative expenses from net premiums earned.  We use underwriting results and operating ratios to monitor the results of our operations without the impact of certain factors, including investment income, other income and expenses, interest and income tax expense, and net realized gains (losses).  </t>
  </si>
  <si>
    <t xml:space="preserve">Cumulative effect of a change in accounting </t>
  </si>
  <si>
    <t xml:space="preserve">   principle, net of tax</t>
  </si>
  <si>
    <t>Cumulative effect of a change in accounting</t>
  </si>
  <si>
    <t>Effective tax rate on income excluding net realized gains (losses)</t>
  </si>
  <si>
    <t xml:space="preserve">   and cumulative effect</t>
  </si>
  <si>
    <t>Effective tax rate on income excluding net realized gains (losses) and</t>
  </si>
  <si>
    <t xml:space="preserve">   cumulative effect</t>
  </si>
  <si>
    <r>
      <t xml:space="preserve">   Other (Sale of certain run-off subsidiaries) </t>
    </r>
    <r>
      <rPr>
        <vertAlign val="superscript"/>
        <sz val="8"/>
        <rFont val="News Gothic"/>
        <family val="2"/>
      </rPr>
      <t>(2)</t>
    </r>
  </si>
  <si>
    <t xml:space="preserve">(1)  The run-off reserves primarily include the Brandywine group, the Commercial Insurance Service - Middle Market Workers' Comp. reserves and the pre-1997 Westchester Specialty reserves.  </t>
  </si>
  <si>
    <t>Total trust preferred securities</t>
  </si>
  <si>
    <t>Debt plus trust preferred securities/ tangible equity</t>
  </si>
  <si>
    <t>Debt plus trust preferred secutities/ total capitalization</t>
  </si>
  <si>
    <t>Shares (cancelled) granted</t>
  </si>
  <si>
    <t xml:space="preserve">   Ordinary Shares - end of period</t>
  </si>
  <si>
    <t>Rollforward of Ordinary Shares</t>
  </si>
  <si>
    <t>Ordinary Shares - beginning of period</t>
  </si>
  <si>
    <t>Perpetual preferred shares</t>
  </si>
  <si>
    <t>Proceeds from issuance of perpetual preferred shares</t>
  </si>
  <si>
    <t>ACE Tempest Re Europe</t>
  </si>
  <si>
    <t>ACE Tempest Re USA</t>
  </si>
  <si>
    <t>ACE Tempest Re Bermuda</t>
  </si>
  <si>
    <t>ACE Tempest Re Canada</t>
  </si>
  <si>
    <t>Hybrid financial instruments</t>
  </si>
  <si>
    <t xml:space="preserve">  P&amp;C underwriting income </t>
  </si>
  <si>
    <t xml:space="preserve">(1) Property and casualty excluding Life is presented to allow for comparison and analysis with earnings guidance. This is a non-GAAP measure. </t>
  </si>
  <si>
    <t>(2) During the third quarter of 2006, ACE Limited completed the sale of three run-off reinsurance subsidiaries, ACE American Reinsurance Company, Brandywine Reinsurance Co. (UK) Ltd. and Brandywine Reinsurance Company S.A.-N.V. to Randall &amp; Quilter Investment Holdings Limited.</t>
  </si>
  <si>
    <t xml:space="preserve">   Sub-total</t>
  </si>
  <si>
    <r>
      <t xml:space="preserve">Annualized return on ordinary shareholders' equity (ROE): </t>
    </r>
    <r>
      <rPr>
        <sz val="8"/>
        <rFont val="News Gothic"/>
        <family val="2"/>
      </rPr>
      <t xml:space="preserve"> Income excluding net realized gains (losses) and cumulative effect less perpetual preferred securities divided by average ordinary shareholders' equity for the period.  To annualize a quarterly rate multiply by four.</t>
    </r>
  </si>
  <si>
    <r>
      <t xml:space="preserve">Effective tax rate:  </t>
    </r>
    <r>
      <rPr>
        <sz val="8"/>
        <rFont val="News Gothic"/>
        <family val="0"/>
      </rPr>
      <t>I</t>
    </r>
    <r>
      <rPr>
        <sz val="8"/>
        <rFont val="News Gothic"/>
        <family val="2"/>
      </rPr>
      <t>ncome tax expense divided by the sum of income tax expense and income excluding net realized gains (losses) and cumulative effect.</t>
    </r>
  </si>
  <si>
    <r>
      <t xml:space="preserve">Combined ratio:   </t>
    </r>
    <r>
      <rPr>
        <sz val="8"/>
        <rFont val="News Gothic"/>
        <family val="0"/>
      </rPr>
      <t>T</t>
    </r>
    <r>
      <rPr>
        <sz val="8"/>
        <rFont val="News Gothic"/>
        <family val="2"/>
      </rPr>
      <t>he sum of the loss and loss expense ratio, acquisition cost ratio and the administrative expense ratio excluding life business.  Calculated on a GAAP basis.</t>
    </r>
  </si>
  <si>
    <t>Change in cumulative translation adjustments</t>
  </si>
  <si>
    <t>Change in minimum pension liability</t>
  </si>
  <si>
    <r>
      <t>Cumulative effect:</t>
    </r>
    <r>
      <rPr>
        <sz val="8"/>
        <rFont val="News Gothic"/>
        <family val="2"/>
      </rPr>
      <t xml:space="preserve">  The benefit resulting from the accrual of a forfeiture rate on the restricted stock under Financial Accounting Standard 123R “Share-Based Payment”.</t>
    </r>
  </si>
  <si>
    <t>Personal accident (A&amp;H)</t>
  </si>
  <si>
    <t>9-10</t>
  </si>
  <si>
    <t>13-16</t>
  </si>
  <si>
    <t>YTD-07 vs.</t>
  </si>
  <si>
    <t>YTD-06</t>
  </si>
  <si>
    <t>2Q-07</t>
  </si>
  <si>
    <t>Balance at June 30, 2007</t>
  </si>
  <si>
    <t>June 30</t>
  </si>
  <si>
    <t>Gross balance at June 30, 2007</t>
  </si>
  <si>
    <t>Provision at 6/30/07</t>
  </si>
  <si>
    <t xml:space="preserve">YTD-06 </t>
  </si>
  <si>
    <t>5-6</t>
  </si>
  <si>
    <t>(1) See page 21 Non-GAAP Financial Measures.</t>
  </si>
  <si>
    <t>(2) See page 21 Non-GAAP Financial Measures.</t>
  </si>
  <si>
    <r>
      <t xml:space="preserve">YTD:  </t>
    </r>
    <r>
      <rPr>
        <sz val="8"/>
        <rFont val="News Gothic"/>
        <family val="2"/>
      </rPr>
      <t>Year to date.</t>
    </r>
  </si>
  <si>
    <t>Change in accounting</t>
  </si>
  <si>
    <t>3.7 years</t>
  </si>
  <si>
    <t>- Insurance - North American</t>
  </si>
  <si>
    <t>- Insurance - Overseas General</t>
  </si>
  <si>
    <r>
      <t>Gross premiums written</t>
    </r>
    <r>
      <rPr>
        <vertAlign val="superscript"/>
        <sz val="8"/>
        <rFont val="News Gothic"/>
        <family val="2"/>
      </rPr>
      <t xml:space="preserve"> (1)</t>
    </r>
  </si>
  <si>
    <r>
      <t xml:space="preserve">   Life underwriting income </t>
    </r>
    <r>
      <rPr>
        <vertAlign val="superscript"/>
        <sz val="8"/>
        <rFont val="News Gothic"/>
        <family val="2"/>
      </rPr>
      <t>(2)</t>
    </r>
  </si>
  <si>
    <r>
      <t xml:space="preserve">   Income excluding net realized gains (losses) </t>
    </r>
    <r>
      <rPr>
        <vertAlign val="superscript"/>
        <sz val="8"/>
        <rFont val="News Gothic"/>
        <family val="2"/>
      </rPr>
      <t>(3)</t>
    </r>
  </si>
  <si>
    <t>(2) We assess the performance of our Life Insurance and Reinsurance business based on life underwriting income which includes net investment income.</t>
  </si>
  <si>
    <t>(3) See page 21 Non-GAAP Financial Measures.</t>
  </si>
  <si>
    <t>Net balance at March 31, 2007</t>
  </si>
  <si>
    <t>September 30, 2007</t>
  </si>
  <si>
    <t>Three months ended September 30</t>
  </si>
  <si>
    <t>3Q-07 vs.</t>
  </si>
  <si>
    <t>3Q-07</t>
  </si>
  <si>
    <t>Three months ended September 30, 2007</t>
  </si>
  <si>
    <t>Three months ended September 30, 2007 and 2006</t>
  </si>
  <si>
    <t>Balance at September 30, 2007</t>
  </si>
  <si>
    <t>Gross balance at September 30, 2007</t>
  </si>
  <si>
    <t>Provision at 9/30/07</t>
  </si>
  <si>
    <r>
      <t>Net balance at September 30, 2007</t>
    </r>
    <r>
      <rPr>
        <b/>
        <vertAlign val="superscript"/>
        <sz val="8"/>
        <rFont val="News Gothic"/>
        <family val="2"/>
      </rPr>
      <t>(3)</t>
    </r>
  </si>
  <si>
    <t>Net balance at June 30, 2007</t>
  </si>
  <si>
    <t>Three months ended September 30, 2006</t>
  </si>
  <si>
    <t>Nine months ended September 30, 2007</t>
  </si>
  <si>
    <t>Nine months ended September 30, 2006</t>
  </si>
  <si>
    <t>Nine months ended September 30</t>
  </si>
  <si>
    <t>Nine months ended September 30, 2007 and 2006</t>
  </si>
  <si>
    <t xml:space="preserve">At June 30, 2007, $7.4 billion of the active operations' recoverables were from rated reinsurers, of which 95.1% were rated the equivalent of A- or better by internationally recognized rating agencies.  The Company held collateral of $3.2 billion, of which $2 billion was matched and usable against existing recoverables. </t>
  </si>
  <si>
    <t>AGRI General Ins Co</t>
  </si>
  <si>
    <t>AIOI Insurance Group</t>
  </si>
  <si>
    <t>Liberty Mutual Insurance Companies</t>
  </si>
  <si>
    <t>American International Group (AIG)</t>
  </si>
  <si>
    <t>Allianz</t>
  </si>
  <si>
    <t>Montpelier Reinsurance Ltd</t>
  </si>
  <si>
    <t>Berkshire Hathaway Insurance Group</t>
  </si>
  <si>
    <t>Allied World Assurance Group</t>
  </si>
  <si>
    <t>Partner Re</t>
  </si>
  <si>
    <t>Chubb Insurance Group</t>
  </si>
  <si>
    <t>Arch Capital</t>
  </si>
  <si>
    <t>Platinum Underwriters</t>
  </si>
  <si>
    <t>Federal Crop Insurance Corp</t>
  </si>
  <si>
    <t>Aspen Insurance Holdings Ltd</t>
  </si>
  <si>
    <t>PMA Capital Corp</t>
  </si>
  <si>
    <t>HDI Haftpflichtverband Der Deutschen Industrie Vag (Hannover)</t>
  </si>
  <si>
    <t>AXA</t>
  </si>
  <si>
    <t>Renaissance Re Holdings Ltd</t>
  </si>
  <si>
    <t>Lloyd's Of London</t>
  </si>
  <si>
    <t>CIGNA</t>
  </si>
  <si>
    <t>Royal &amp; Sun Alliance Insurance Group</t>
  </si>
  <si>
    <t>Munich Re Group</t>
  </si>
  <si>
    <t>Converium Group</t>
  </si>
  <si>
    <t>SCOR Group</t>
  </si>
  <si>
    <t>Swiss Re Group</t>
  </si>
  <si>
    <t>Dow Chemical Co</t>
  </si>
  <si>
    <t>Sompo Japan Group</t>
  </si>
  <si>
    <t>XL Capital Group</t>
  </si>
  <si>
    <t>Electric Insurance Company Group</t>
  </si>
  <si>
    <t>Tawa UK Ltd</t>
  </si>
  <si>
    <t>Endurance Specialty Holdings Ltd</t>
  </si>
  <si>
    <t>Toa Reinsurance Company</t>
  </si>
  <si>
    <t>Everest Re Group</t>
  </si>
  <si>
    <t>Travelers Companies Inc</t>
  </si>
  <si>
    <t>ING Groep NV</t>
  </si>
  <si>
    <t>White Mountains Insurance Group</t>
  </si>
  <si>
    <t>IPCRe Ltd</t>
  </si>
  <si>
    <t>WR Berkley Corp</t>
  </si>
  <si>
    <t>IRB - Brasil Resseguros S.A. Group</t>
  </si>
  <si>
    <t>Zurich Financial Services Group</t>
  </si>
  <si>
    <t>At June 30, 2007, $11.2  billion of ACE Limited recoverables were from rated reinsurers, of which 94.6% were rated the equivalent of A- or better by internationally recognized rating agencies.</t>
  </si>
  <si>
    <t>Hartford Insurance Group</t>
  </si>
  <si>
    <t>Equitas</t>
  </si>
  <si>
    <t>Allstate Group</t>
  </si>
  <si>
    <t>Millea Holdings</t>
  </si>
  <si>
    <t>CNA Insurance Companies</t>
  </si>
  <si>
    <t>Dominion Insurance Co Ltd</t>
  </si>
  <si>
    <t>Dukes Place Holdings</t>
  </si>
  <si>
    <t>Enstar Group Ltd</t>
  </si>
  <si>
    <t>Trenwick Group</t>
  </si>
  <si>
    <t>Fairfax Financial</t>
  </si>
  <si>
    <t>FM Global Group</t>
  </si>
  <si>
    <t>Globale Rueckversicherungs AG</t>
  </si>
  <si>
    <t>AVIVA</t>
  </si>
  <si>
    <t>Sale of run-off reinsurance subsidiaries</t>
  </si>
  <si>
    <t xml:space="preserve">In presenting our results, we have included and discussed certain non-GAAP measures.  These non-GAAP measures, which may be defined differently by other companies, are important for an understanding of our overall results of operations. However, they should not be viewed as a substitute for measures determined in accordance with GAAP.  A reconciliation of book value per share is provided on page 22.  </t>
  </si>
  <si>
    <t>Net realized gains (losses) on equity investments</t>
  </si>
  <si>
    <t xml:space="preserve">(1) The quarter includes impairments of $13M for fixed maturities and $5M for equitites.  Year to date includes impairments of $63M for fixed maturities, $7M for equities and $2M for other investments.   </t>
  </si>
  <si>
    <t xml:space="preserve">The following non-GAAP measure is a common performance measurement and is defined as income excluding net realized gains (losses), the tax expense (benefit) on net realized gains (losses), and cumulative effect of a change in accounting principle, net of tax.  We believe this presentation enhances the understanding of our results of operations by highlighting the underlying profitability of our insurance business.  We exclude net realized gains (losses) and net realized gains (losses) included in other (income) expense related to partially owned insurance companies because the amount of these gains (losses) is heavily influenced by, and fluctuates in part according to, the availability of market opportunities.  We exclude the benefit of the cumulative effect of a change in accounting principle, net of tax, because this benefit resulted in a one time adjustment to income.  We believe these amounts are largely independent of our business and including them would distort the analysis of trends.  Income excluding net realized gains (losses) and cumulative effect should not be viewed as a substitute for net income determined in accordance with generally accepted accounting principles (GAAP). </t>
  </si>
  <si>
    <t>Net realized gains (losses) in other (income) expense</t>
  </si>
  <si>
    <t>Net premiums earned A&amp;H</t>
  </si>
  <si>
    <r>
      <t xml:space="preserve">Net realized gains (losses) in other (income) expense </t>
    </r>
    <r>
      <rPr>
        <vertAlign val="superscript"/>
        <sz val="8"/>
        <rFont val="News Gothic"/>
        <family val="2"/>
      </rPr>
      <t>(1)</t>
    </r>
  </si>
  <si>
    <t xml:space="preserve">(1) Realized gains (losses) on partially-owned insurance companies that meet the requirements for equity accounting.  The net income or loss is included in other (income) expense. </t>
  </si>
  <si>
    <t>Expense ratio excluding A&amp;H</t>
  </si>
  <si>
    <t xml:space="preserve">Expense ratio P&amp;C </t>
  </si>
  <si>
    <t xml:space="preserve">(2) Realized gains (losses) on partially-owned insurance companies that meet the requirements for equity accounting.  The net income or loss is included in other (income) expense. </t>
  </si>
  <si>
    <r>
      <t>Partially-owned insurance companies</t>
    </r>
    <r>
      <rPr>
        <vertAlign val="superscript"/>
        <sz val="8"/>
        <rFont val="News Gothic"/>
        <family val="2"/>
      </rPr>
      <t xml:space="preserve"> (2)</t>
    </r>
  </si>
  <si>
    <r>
      <t xml:space="preserve">(Losses) </t>
    </r>
    <r>
      <rPr>
        <b/>
        <sz val="6"/>
        <rFont val="News Gothic"/>
        <family val="2"/>
      </rPr>
      <t>(3)</t>
    </r>
  </si>
  <si>
    <t xml:space="preserve">(3) The quarter includes impairments of $106M for fixed maturities, $3M for equities.  Year to date includes impairments of $186M for fixed maturities, $9M for equities and $6M for other investments.   </t>
  </si>
  <si>
    <t>3.6 years</t>
  </si>
  <si>
    <t>(1) Consistent with GAAP, premiums collected on universal life and investment contracts are considered deposits and excluded from premium revenue.  For the quarter ended September 30, 2007 and June 30, 2007, premiums collected on universal life and investment contracts that were excluded from premium revenue above aggregated to $17.4 million and $10.6 million, respectively.  Previous to Q2-07, premiums collected on universal life contracts were inconsequential.</t>
  </si>
  <si>
    <t>(1) Other principally includes amounts recoverable that are in dispute, or are from companies who are in supervision, rehabilitation or liquidation.  Our estimate of provision for uncollectible reinsurance associated with Other considers the credit quality of the reinsurer, and whether we have received collateral or other credit protections such as multi-beneficiary trusts and parental guarantees.</t>
  </si>
  <si>
    <t>(2) Other principally includes amounts recoverable that are in dispute, or are from companies who are in supervision, rehabilitation or liquidation for Brandywine Group and active operations.  Our estimation of the reserve for other, considers the merits of the underlying matter, the credit quality of the reinsurer, and whether we have received collateral or other credit protections such multi-beneficiary trusts and parental guarantees.</t>
  </si>
  <si>
    <r>
      <t xml:space="preserve">Other (income) expense </t>
    </r>
    <r>
      <rPr>
        <b/>
        <vertAlign val="superscript"/>
        <sz val="8"/>
        <rFont val="News Gothic"/>
        <family val="2"/>
      </rPr>
      <t>(3)</t>
    </r>
  </si>
  <si>
    <t>(3) Includes $38 million of net realized investment and derivative losses related to our unconsolidated insurance affiliates.</t>
  </si>
  <si>
    <t xml:space="preserve">Forward-looking statements made in this financial supplement reflect the Company’s current views with respect to future events and financial performance and are made pursuant to the safe harbor provisions of the Private Securities Litigation Reform Act of 1995.  Such statements involve risks and uncertainties which may cause actual results to differ materially from those set forth in these statements.  For example, the Company’s forward-looking statements, such as statements concerning exposures, reserves and recoverables, could be affected by the frequency of unpredictable catastrophic events, actual loss experience, uncertainties in the reserving or settlement process, new theories of liability, judicial, legislative, regulatory and other governmental developments, litigation tactics and developments, investigation developments and actual settlement terms, the amount and timing of reinsurance receivable and credit developments among reinsurers.  </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</si>
</sst>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_);\(#,##0.0\)"/>
    <numFmt numFmtId="165" formatCode="_(&quot;$&quot;* #,##0.0_);_(&quot;$&quot;* \(#,##0.0\);_(&quot;$&quot;* &quot;-&quot;??_);_(@_)"/>
    <numFmt numFmtId="166" formatCode="0.0%"/>
    <numFmt numFmtId="167" formatCode="_(&quot;$&quot;* #,##0_);_(&quot;$&quot;* \(#,##0\);_(&quot;$&quot;* &quot;-&quot;??_);_(@_)"/>
    <numFmt numFmtId="168" formatCode="_(* #,##0_);_(* \(#,##0\);_(* &quot;-&quot;??_);_(@_)"/>
    <numFmt numFmtId="169" formatCode="mmmm\ d"/>
    <numFmt numFmtId="170" formatCode="0.00000"/>
    <numFmt numFmtId="171" formatCode="0_);\(0\)"/>
    <numFmt numFmtId="172" formatCode="#,##0.000_);\(#,##0.000\)"/>
    <numFmt numFmtId="173" formatCode="_(* #,##0.0_);_(* \(#,##0.0\);_(* &quot;-&quot;_);_(@_)"/>
    <numFmt numFmtId="174" formatCode="m/d/yy"/>
    <numFmt numFmtId="175" formatCode="dd\-mmm\-yy"/>
    <numFmt numFmtId="176" formatCode="mmmm\ d\,\ yyyy"/>
    <numFmt numFmtId="177" formatCode="#,##0.0000_);\(#,##0.0000\)"/>
    <numFmt numFmtId="178" formatCode="mmmm\-yy"/>
    <numFmt numFmtId="179" formatCode="#,##0.0%;\(#,##0.0%\)"/>
    <numFmt numFmtId="180" formatCode="_(* #,##0.0_);_(* \(#,##0.0\);_(* &quot;-&quot;??_);_(@_)"/>
    <numFmt numFmtId="181" formatCode="_(&quot;$&quot;* #,##0.000_);_(&quot;$&quot;* \(#,##0.000\);_(&quot;$&quot;* &quot;-&quot;???_);_(@_)"/>
    <numFmt numFmtId="182" formatCode="_(&quot;$&quot;* #,##0.000_);_(&quot;$&quot;* \(#,##0.000\);_(&quot;$&quot;* &quot;-&quot;??_);_(@_)"/>
    <numFmt numFmtId="183" formatCode="&quot;Yes&quot;;&quot;Yes&quot;;&quot;No&quot;"/>
    <numFmt numFmtId="184" formatCode="&quot;True&quot;;&quot;True&quot;;&quot;False&quot;"/>
    <numFmt numFmtId="185" formatCode="&quot;On&quot;;&quot;On&quot;;&quot;Off&quot;"/>
    <numFmt numFmtId="186" formatCode="[$€-2]\ #,##0.00_);[Red]\([$€-2]\ #,##0.00\)"/>
    <numFmt numFmtId="187" formatCode="0.000%"/>
    <numFmt numFmtId="188" formatCode="[$-409]h:mm:ss\ AM/PM"/>
    <numFmt numFmtId="189" formatCode="[$-F400]h:mm:ss\ AM/PM"/>
    <numFmt numFmtId="190" formatCode="[$-409]h:mm\ AM/PM;@"/>
  </numFmts>
  <fonts count="50">
    <font>
      <sz val="10"/>
      <name val="Times New Roman"/>
      <family val="1"/>
    </font>
    <font>
      <sz val="10"/>
      <name val="Arial"/>
      <family val="0"/>
    </font>
    <font>
      <b/>
      <sz val="10"/>
      <name val="Times New Roman"/>
      <family val="1"/>
    </font>
    <font>
      <sz val="10"/>
      <name val="Helv"/>
      <family val="0"/>
    </font>
    <font>
      <sz val="12"/>
      <name val="Helv"/>
      <family val="0"/>
    </font>
    <font>
      <u val="single"/>
      <sz val="10"/>
      <color indexed="12"/>
      <name val="Times New Roman"/>
      <family val="1"/>
    </font>
    <font>
      <u val="single"/>
      <sz val="10"/>
      <color indexed="36"/>
      <name val="Times New Roman"/>
      <family val="1"/>
    </font>
    <font>
      <b/>
      <sz val="10"/>
      <name val="News Gothic"/>
      <family val="2"/>
    </font>
    <font>
      <sz val="8"/>
      <name val="News Gothic"/>
      <family val="2"/>
    </font>
    <font>
      <b/>
      <sz val="8"/>
      <name val="News Gothic"/>
      <family val="2"/>
    </font>
    <font>
      <b/>
      <sz val="7"/>
      <name val="News Gothic"/>
      <family val="2"/>
    </font>
    <font>
      <b/>
      <u val="single"/>
      <sz val="10"/>
      <name val="News Gothic"/>
      <family val="2"/>
    </font>
    <font>
      <b/>
      <i/>
      <sz val="8"/>
      <name val="News Gothic"/>
      <family val="2"/>
    </font>
    <font>
      <sz val="6"/>
      <name val="News Gothic"/>
      <family val="2"/>
    </font>
    <font>
      <b/>
      <u val="single"/>
      <sz val="8"/>
      <name val="News Gothic"/>
      <family val="2"/>
    </font>
    <font>
      <sz val="10"/>
      <name val="News Gothic"/>
      <family val="2"/>
    </font>
    <font>
      <b/>
      <sz val="12"/>
      <name val="News Gothic"/>
      <family val="2"/>
    </font>
    <font>
      <b/>
      <vertAlign val="superscript"/>
      <sz val="8"/>
      <name val="News Gothic"/>
      <family val="2"/>
    </font>
    <font>
      <vertAlign val="superscript"/>
      <sz val="8"/>
      <name val="News Gothic"/>
      <family val="2"/>
    </font>
    <font>
      <vertAlign val="superscript"/>
      <sz val="7"/>
      <name val="News Gothic"/>
      <family val="2"/>
    </font>
    <font>
      <sz val="7"/>
      <name val="News Gothic"/>
      <family val="2"/>
    </font>
    <font>
      <b/>
      <i/>
      <u val="single"/>
      <sz val="8"/>
      <name val="News Gothic"/>
      <family val="2"/>
    </font>
    <font>
      <b/>
      <sz val="6"/>
      <name val="News Gothic"/>
      <family val="2"/>
    </font>
    <font>
      <sz val="8"/>
      <color indexed="53"/>
      <name val="News Gothic"/>
      <family val="2"/>
    </font>
    <font>
      <sz val="8"/>
      <color indexed="12"/>
      <name val="News Gothic"/>
      <family val="2"/>
    </font>
    <font>
      <u val="single"/>
      <sz val="8"/>
      <color indexed="12"/>
      <name val="News Gothic"/>
      <family val="2"/>
    </font>
    <font>
      <b/>
      <sz val="14"/>
      <name val="News Gothic"/>
      <family val="2"/>
    </font>
    <font>
      <sz val="18"/>
      <color indexed="9"/>
      <name val="News Gothic"/>
      <family val="2"/>
    </font>
    <font>
      <sz val="12"/>
      <name val="News Gothic"/>
      <family val="2"/>
    </font>
    <font>
      <sz val="8"/>
      <name val="Times New Roman"/>
      <family val="1"/>
    </font>
    <font>
      <b/>
      <u val="single"/>
      <sz val="8"/>
      <name val="Times New Roman"/>
      <family val="1"/>
    </font>
    <font>
      <sz val="7"/>
      <name val="Times New Roman"/>
      <family val="1"/>
    </font>
    <font>
      <b/>
      <sz val="8"/>
      <color indexed="12"/>
      <name val="News Gothic"/>
      <family val="2"/>
    </font>
    <font>
      <i/>
      <sz val="8"/>
      <name val="News Gothic"/>
      <family val="0"/>
    </font>
    <font>
      <u val="single"/>
      <sz val="8"/>
      <name val="News Gothic"/>
      <family val="0"/>
    </font>
    <font>
      <b/>
      <sz val="10"/>
      <color indexed="10"/>
      <name val="News Gothic"/>
      <family val="2"/>
    </font>
    <font>
      <b/>
      <u val="single"/>
      <sz val="9"/>
      <name val="News Gothic"/>
      <family val="2"/>
    </font>
    <font>
      <sz val="8"/>
      <color indexed="10"/>
      <name val="News Gothic"/>
      <family val="2"/>
    </font>
    <font>
      <u val="single"/>
      <sz val="10"/>
      <name val="News Gothic"/>
      <family val="2"/>
    </font>
    <font>
      <b/>
      <u val="single"/>
      <vertAlign val="superscript"/>
      <sz val="8"/>
      <name val="News Gothic"/>
      <family val="0"/>
    </font>
    <font>
      <sz val="8"/>
      <name val="Arial"/>
      <family val="0"/>
    </font>
    <font>
      <b/>
      <sz val="8"/>
      <name val="Arial"/>
      <family val="0"/>
    </font>
    <font>
      <sz val="10"/>
      <name val="Bookman"/>
      <family val="0"/>
    </font>
    <font>
      <b/>
      <i/>
      <sz val="8"/>
      <color indexed="10"/>
      <name val="News Gothic"/>
      <family val="2"/>
    </font>
    <font>
      <sz val="3"/>
      <name val="News Gothic"/>
      <family val="2"/>
    </font>
    <font>
      <sz val="5"/>
      <name val="News Gothic"/>
      <family val="2"/>
    </font>
    <font>
      <sz val="4"/>
      <name val="News Gothic"/>
      <family val="2"/>
    </font>
    <font>
      <sz val="20"/>
      <name val="News Gothic"/>
      <family val="2"/>
    </font>
    <font>
      <b/>
      <sz val="20"/>
      <color indexed="10"/>
      <name val="News Gothic"/>
      <family val="2"/>
    </font>
    <font>
      <strike/>
      <sz val="10"/>
      <name val="News Gothic"/>
      <family val="2"/>
    </font>
  </fonts>
  <fills count="4">
    <fill>
      <patternFill/>
    </fill>
    <fill>
      <patternFill patternType="gray125"/>
    </fill>
    <fill>
      <patternFill patternType="solid">
        <fgColor indexed="63"/>
        <bgColor indexed="64"/>
      </patternFill>
    </fill>
    <fill>
      <patternFill patternType="solid">
        <fgColor indexed="42"/>
        <bgColor indexed="64"/>
      </patternFill>
    </fill>
  </fills>
  <borders count="7">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double"/>
    </border>
    <border>
      <left>
        <color indexed="63"/>
      </left>
      <right>
        <color indexed="63"/>
      </right>
      <top style="thin"/>
      <bottom style="thin"/>
    </border>
    <border>
      <left>
        <color indexed="63"/>
      </left>
      <right>
        <color indexed="63"/>
      </right>
      <top>
        <color indexed="63"/>
      </top>
      <bottom style="double"/>
    </border>
    <border>
      <left style="thin"/>
      <right style="thin"/>
      <top style="thin"/>
      <bottom style="thin"/>
    </border>
  </borders>
  <cellStyleXfs count="27">
    <xf numFmtId="39"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39" fontId="0" fillId="0" borderId="0">
      <alignment/>
      <protection/>
    </xf>
    <xf numFmtId="170" fontId="42" fillId="0" borderId="0">
      <alignment/>
      <protection/>
    </xf>
    <xf numFmtId="0" fontId="3" fillId="0" borderId="0">
      <alignment/>
      <protection/>
    </xf>
    <xf numFmtId="3" fontId="4" fillId="0" borderId="0">
      <alignment/>
      <protection/>
    </xf>
    <xf numFmtId="0" fontId="4" fillId="0" borderId="0">
      <alignment/>
      <protection/>
    </xf>
    <xf numFmtId="9" fontId="1" fillId="0" borderId="0" applyFont="0" applyFill="0" applyBorder="0" applyAlignment="0" applyProtection="0"/>
  </cellStyleXfs>
  <cellXfs count="667">
    <xf numFmtId="39" fontId="0" fillId="0" borderId="0" xfId="0" applyAlignment="1">
      <alignment/>
    </xf>
    <xf numFmtId="39" fontId="8" fillId="0" borderId="0" xfId="0" applyFont="1" applyAlignment="1">
      <alignment/>
    </xf>
    <xf numFmtId="39" fontId="9" fillId="0" borderId="0" xfId="0" applyFont="1" applyAlignment="1">
      <alignment horizontal="center"/>
    </xf>
    <xf numFmtId="39" fontId="11" fillId="0" borderId="0" xfId="0" applyFont="1" applyAlignment="1">
      <alignment/>
    </xf>
    <xf numFmtId="39" fontId="9" fillId="0" borderId="1" xfId="0" applyFont="1" applyBorder="1" applyAlignment="1">
      <alignment horizontal="center"/>
    </xf>
    <xf numFmtId="39" fontId="9" fillId="0" borderId="0" xfId="0" applyFont="1" applyBorder="1" applyAlignment="1">
      <alignment horizontal="center"/>
    </xf>
    <xf numFmtId="0" fontId="9" fillId="0" borderId="1" xfId="0" applyNumberFormat="1" applyFont="1" applyBorder="1" applyAlignment="1">
      <alignment horizontal="center"/>
    </xf>
    <xf numFmtId="39" fontId="8" fillId="0" borderId="0" xfId="0" applyFont="1" applyBorder="1" applyAlignment="1">
      <alignment/>
    </xf>
    <xf numFmtId="9" fontId="8" fillId="0" borderId="0" xfId="26" applyFont="1" applyAlignment="1">
      <alignment/>
    </xf>
    <xf numFmtId="37" fontId="8" fillId="0" borderId="0" xfId="0" applyNumberFormat="1" applyFont="1" applyAlignment="1">
      <alignment/>
    </xf>
    <xf numFmtId="41" fontId="8" fillId="0" borderId="0" xfId="0" applyNumberFormat="1" applyFont="1" applyBorder="1" applyAlignment="1">
      <alignment/>
    </xf>
    <xf numFmtId="37" fontId="8" fillId="0" borderId="2" xfId="0" applyNumberFormat="1" applyFont="1" applyBorder="1" applyAlignment="1">
      <alignment/>
    </xf>
    <xf numFmtId="37" fontId="8" fillId="0" borderId="0" xfId="0" applyNumberFormat="1" applyFont="1" applyBorder="1" applyAlignment="1">
      <alignment/>
    </xf>
    <xf numFmtId="41" fontId="8" fillId="0" borderId="1" xfId="0" applyNumberFormat="1" applyFont="1" applyBorder="1" applyAlignment="1">
      <alignment/>
    </xf>
    <xf numFmtId="39" fontId="9" fillId="0" borderId="0" xfId="0" applyFont="1" applyAlignment="1">
      <alignment/>
    </xf>
    <xf numFmtId="0" fontId="8" fillId="0" borderId="0" xfId="0" applyNumberFormat="1" applyFont="1" applyBorder="1" applyAlignment="1">
      <alignment/>
    </xf>
    <xf numFmtId="166" fontId="8" fillId="0" borderId="0" xfId="26" applyNumberFormat="1" applyFont="1" applyFill="1" applyAlignment="1">
      <alignment/>
    </xf>
    <xf numFmtId="166" fontId="8" fillId="0" borderId="0" xfId="26" applyNumberFormat="1" applyFont="1" applyFill="1" applyBorder="1" applyAlignment="1">
      <alignment/>
    </xf>
    <xf numFmtId="166" fontId="8" fillId="0" borderId="1" xfId="26" applyNumberFormat="1" applyFont="1" applyFill="1" applyBorder="1" applyAlignment="1">
      <alignment/>
    </xf>
    <xf numFmtId="39" fontId="7" fillId="0" borderId="0" xfId="0" applyFont="1" applyAlignment="1">
      <alignment horizontal="center"/>
    </xf>
    <xf numFmtId="39" fontId="10" fillId="0" borderId="0" xfId="0" applyFont="1" applyAlignment="1">
      <alignment horizontal="center"/>
    </xf>
    <xf numFmtId="0" fontId="9" fillId="0" borderId="0" xfId="0" applyNumberFormat="1" applyFont="1" applyAlignment="1">
      <alignment horizontal="center"/>
    </xf>
    <xf numFmtId="0" fontId="9" fillId="0" borderId="1" xfId="0" applyNumberFormat="1" applyFont="1" applyBorder="1" applyAlignment="1" quotePrefix="1">
      <alignment horizontal="center"/>
    </xf>
    <xf numFmtId="39" fontId="8" fillId="0" borderId="0" xfId="0" applyFont="1" applyAlignment="1">
      <alignment/>
    </xf>
    <xf numFmtId="39" fontId="8" fillId="0" borderId="0" xfId="0" applyFont="1" applyAlignment="1">
      <alignment horizontal="left" indent="1"/>
    </xf>
    <xf numFmtId="37" fontId="8" fillId="0" borderId="2" xfId="0" applyNumberFormat="1" applyFont="1" applyBorder="1" applyAlignment="1">
      <alignment/>
    </xf>
    <xf numFmtId="166" fontId="8" fillId="0" borderId="0" xfId="26" applyNumberFormat="1" applyFont="1" applyFill="1" applyAlignment="1">
      <alignment/>
    </xf>
    <xf numFmtId="166" fontId="8" fillId="0" borderId="1" xfId="26" applyNumberFormat="1" applyFont="1" applyFill="1" applyBorder="1" applyAlignment="1">
      <alignment/>
    </xf>
    <xf numFmtId="37" fontId="8" fillId="0" borderId="0" xfId="0" applyNumberFormat="1" applyFont="1" applyAlignment="1">
      <alignment/>
    </xf>
    <xf numFmtId="0" fontId="9" fillId="0" borderId="0" xfId="0" applyNumberFormat="1" applyFont="1" applyBorder="1" applyAlignment="1" quotePrefix="1">
      <alignment horizontal="center"/>
    </xf>
    <xf numFmtId="164" fontId="8" fillId="0" borderId="0" xfId="0" applyNumberFormat="1" applyFont="1" applyFill="1" applyAlignment="1">
      <alignment/>
    </xf>
    <xf numFmtId="167" fontId="8" fillId="0" borderId="0" xfId="17" applyNumberFormat="1" applyFont="1" applyFill="1" applyAlignment="1">
      <alignment/>
    </xf>
    <xf numFmtId="167" fontId="8" fillId="0" borderId="0" xfId="17" applyNumberFormat="1" applyFont="1" applyFill="1" applyBorder="1" applyAlignment="1">
      <alignment/>
    </xf>
    <xf numFmtId="39" fontId="9" fillId="0" borderId="0" xfId="0" applyFont="1" applyFill="1" applyAlignment="1">
      <alignment/>
    </xf>
    <xf numFmtId="167" fontId="9" fillId="0" borderId="0" xfId="17" applyNumberFormat="1" applyFont="1" applyFill="1" applyBorder="1" applyAlignment="1">
      <alignment/>
    </xf>
    <xf numFmtId="39" fontId="13" fillId="0" borderId="0" xfId="0" applyFont="1" applyAlignment="1">
      <alignment/>
    </xf>
    <xf numFmtId="39" fontId="14" fillId="0" borderId="0" xfId="0" applyFont="1" applyAlignment="1">
      <alignment/>
    </xf>
    <xf numFmtId="42" fontId="8" fillId="0" borderId="0" xfId="17" applyNumberFormat="1" applyFont="1" applyFill="1" applyAlignment="1">
      <alignment/>
    </xf>
    <xf numFmtId="168" fontId="8" fillId="0" borderId="0" xfId="15" applyNumberFormat="1" applyFont="1" applyFill="1" applyBorder="1" applyAlignment="1">
      <alignment/>
    </xf>
    <xf numFmtId="41" fontId="8" fillId="0" borderId="0" xfId="15" applyNumberFormat="1" applyFont="1" applyFill="1" applyBorder="1" applyAlignment="1">
      <alignment/>
    </xf>
    <xf numFmtId="37" fontId="8" fillId="0" borderId="0" xfId="0" applyNumberFormat="1" applyFont="1" applyFill="1" applyAlignment="1">
      <alignment/>
    </xf>
    <xf numFmtId="166" fontId="8" fillId="0" borderId="0" xfId="26" applyNumberFormat="1" applyFont="1" applyAlignment="1">
      <alignment/>
    </xf>
    <xf numFmtId="39" fontId="8" fillId="0" borderId="0" xfId="0" applyFont="1" applyFill="1" applyAlignment="1">
      <alignment/>
    </xf>
    <xf numFmtId="39" fontId="14" fillId="0" borderId="0" xfId="0" applyFont="1" applyBorder="1" applyAlignment="1">
      <alignment/>
    </xf>
    <xf numFmtId="37" fontId="9" fillId="0" borderId="0" xfId="0" applyNumberFormat="1" applyFont="1" applyAlignment="1">
      <alignment horizontal="center"/>
    </xf>
    <xf numFmtId="167" fontId="8" fillId="0" borderId="0" xfId="17" applyNumberFormat="1" applyFont="1" applyFill="1" applyAlignment="1">
      <alignment/>
    </xf>
    <xf numFmtId="41" fontId="8" fillId="0" borderId="0" xfId="23" applyNumberFormat="1" applyFont="1" applyFill="1" applyBorder="1" applyAlignment="1">
      <alignment/>
      <protection/>
    </xf>
    <xf numFmtId="37" fontId="8" fillId="0" borderId="0" xfId="15" applyNumberFormat="1" applyFont="1" applyFill="1" applyAlignment="1">
      <alignment/>
    </xf>
    <xf numFmtId="37" fontId="8" fillId="0" borderId="0" xfId="15" applyNumberFormat="1" applyFont="1" applyFill="1" applyAlignment="1">
      <alignment/>
    </xf>
    <xf numFmtId="0" fontId="8" fillId="0" borderId="0" xfId="0" applyNumberFormat="1" applyFont="1" applyBorder="1" applyAlignment="1">
      <alignment wrapText="1"/>
    </xf>
    <xf numFmtId="166" fontId="8" fillId="0" borderId="0" xfId="17" applyNumberFormat="1" applyFont="1" applyFill="1" applyBorder="1" applyAlignment="1">
      <alignment/>
    </xf>
    <xf numFmtId="166" fontId="8" fillId="0" borderId="0" xfId="17" applyNumberFormat="1" applyFont="1" applyFill="1" applyBorder="1" applyAlignment="1">
      <alignment/>
    </xf>
    <xf numFmtId="39" fontId="15" fillId="0" borderId="0" xfId="0" applyFont="1" applyAlignment="1">
      <alignment/>
    </xf>
    <xf numFmtId="41" fontId="8" fillId="0" borderId="0" xfId="0" applyNumberFormat="1" applyFont="1" applyFill="1" applyBorder="1" applyAlignment="1">
      <alignment/>
    </xf>
    <xf numFmtId="39" fontId="9" fillId="0" borderId="0" xfId="0" applyFont="1" applyAlignment="1">
      <alignment/>
    </xf>
    <xf numFmtId="39" fontId="12" fillId="0" borderId="0" xfId="0" applyFont="1" applyAlignment="1">
      <alignment horizontal="left" indent="2"/>
    </xf>
    <xf numFmtId="166" fontId="8" fillId="0" borderId="0" xfId="26" applyNumberFormat="1" applyFont="1" applyFill="1" applyBorder="1" applyAlignment="1">
      <alignment/>
    </xf>
    <xf numFmtId="49" fontId="13" fillId="0" borderId="0" xfId="0" applyNumberFormat="1" applyFont="1" applyAlignment="1">
      <alignment horizontal="left"/>
    </xf>
    <xf numFmtId="42" fontId="8" fillId="0" borderId="0" xfId="17" applyNumberFormat="1" applyFont="1" applyFill="1" applyAlignment="1">
      <alignment/>
    </xf>
    <xf numFmtId="42" fontId="8" fillId="0" borderId="0" xfId="17" applyNumberFormat="1" applyFont="1" applyFill="1" applyBorder="1" applyAlignment="1">
      <alignment/>
    </xf>
    <xf numFmtId="39" fontId="9" fillId="0" borderId="1" xfId="0" applyFont="1" applyFill="1" applyBorder="1" applyAlignment="1">
      <alignment horizontal="center"/>
    </xf>
    <xf numFmtId="39" fontId="8" fillId="0" borderId="0" xfId="0" applyFont="1" applyBorder="1" applyAlignment="1">
      <alignment/>
    </xf>
    <xf numFmtId="39" fontId="8" fillId="0" borderId="0" xfId="0" applyFont="1" applyFill="1" applyAlignment="1">
      <alignment/>
    </xf>
    <xf numFmtId="168" fontId="8" fillId="0" borderId="0" xfId="15" applyNumberFormat="1" applyFont="1" applyFill="1" applyAlignment="1">
      <alignment/>
    </xf>
    <xf numFmtId="39" fontId="9" fillId="0" borderId="2" xfId="0" applyFont="1" applyBorder="1" applyAlignment="1">
      <alignment/>
    </xf>
    <xf numFmtId="39" fontId="9" fillId="0" borderId="0" xfId="0" applyFont="1" applyBorder="1" applyAlignment="1">
      <alignment/>
    </xf>
    <xf numFmtId="39" fontId="15" fillId="0" borderId="0" xfId="0" applyFont="1" applyAlignment="1">
      <alignment/>
    </xf>
    <xf numFmtId="39" fontId="8" fillId="0" borderId="2" xfId="0" applyFont="1" applyBorder="1" applyAlignment="1">
      <alignment/>
    </xf>
    <xf numFmtId="0" fontId="8" fillId="0" borderId="0" xfId="0" applyNumberFormat="1" applyFont="1" applyAlignment="1" applyProtection="1">
      <alignment/>
      <protection/>
    </xf>
    <xf numFmtId="0" fontId="14" fillId="0" borderId="0" xfId="0" applyNumberFormat="1" applyFont="1" applyAlignment="1" applyProtection="1">
      <alignment/>
      <protection/>
    </xf>
    <xf numFmtId="0" fontId="14" fillId="0" borderId="0" xfId="0" applyNumberFormat="1" applyFont="1" applyBorder="1" applyAlignment="1" applyProtection="1">
      <alignment/>
      <protection/>
    </xf>
    <xf numFmtId="39" fontId="15" fillId="0" borderId="0" xfId="0" applyFont="1" applyAlignment="1">
      <alignment wrapText="1"/>
    </xf>
    <xf numFmtId="39" fontId="9" fillId="0" borderId="0" xfId="0" applyFont="1" applyFill="1" applyBorder="1" applyAlignment="1">
      <alignment/>
    </xf>
    <xf numFmtId="0" fontId="7" fillId="0" borderId="0" xfId="23" applyNumberFormat="1" applyFont="1" applyFill="1" applyAlignment="1">
      <alignment horizontal="centerContinuous" vertical="center"/>
      <protection/>
    </xf>
    <xf numFmtId="0" fontId="10" fillId="0" borderId="0" xfId="23" applyNumberFormat="1" applyFont="1" applyFill="1" applyAlignment="1">
      <alignment horizontal="centerContinuous" vertical="center"/>
      <protection/>
    </xf>
    <xf numFmtId="39" fontId="8" fillId="0" borderId="0" xfId="0" applyFont="1" applyFill="1" applyBorder="1" applyAlignment="1">
      <alignment/>
    </xf>
    <xf numFmtId="39" fontId="8" fillId="0" borderId="0" xfId="0" applyFont="1" applyAlignment="1">
      <alignment wrapText="1"/>
    </xf>
    <xf numFmtId="39" fontId="8" fillId="0" borderId="0" xfId="0" applyFont="1" applyAlignment="1">
      <alignment horizontal="left"/>
    </xf>
    <xf numFmtId="39" fontId="8" fillId="0" borderId="0" xfId="0" applyFont="1" applyAlignment="1">
      <alignment horizontal="left" wrapText="1"/>
    </xf>
    <xf numFmtId="39" fontId="8" fillId="0" borderId="1" xfId="0" applyFont="1" applyBorder="1" applyAlignment="1">
      <alignment/>
    </xf>
    <xf numFmtId="39" fontId="9" fillId="0" borderId="0" xfId="0" applyFont="1" applyAlignment="1">
      <alignment horizontal="left"/>
    </xf>
    <xf numFmtId="0" fontId="8" fillId="0" borderId="0" xfId="0" applyNumberFormat="1" applyFont="1" applyBorder="1" applyAlignment="1" applyProtection="1">
      <alignment/>
      <protection/>
    </xf>
    <xf numFmtId="174" fontId="9" fillId="0" borderId="1" xfId="0" applyNumberFormat="1" applyFont="1" applyBorder="1" applyAlignment="1">
      <alignment horizontal="center"/>
    </xf>
    <xf numFmtId="39" fontId="21" fillId="0" borderId="0" xfId="0" applyFont="1" applyBorder="1" applyAlignment="1">
      <alignment/>
    </xf>
    <xf numFmtId="39" fontId="8" fillId="0" borderId="0" xfId="0" applyFont="1" applyFill="1" applyBorder="1" applyAlignment="1">
      <alignment horizontal="left" indent="1"/>
    </xf>
    <xf numFmtId="37" fontId="8" fillId="0" borderId="0" xfId="0" applyNumberFormat="1" applyFont="1" applyFill="1" applyBorder="1" applyAlignment="1">
      <alignment/>
    </xf>
    <xf numFmtId="39" fontId="8" fillId="0" borderId="0" xfId="0" applyFont="1" applyAlignment="1">
      <alignment horizontal="right"/>
    </xf>
    <xf numFmtId="39" fontId="8" fillId="0" borderId="0" xfId="0" applyFont="1" applyAlignment="1">
      <alignment horizontal="centerContinuous"/>
    </xf>
    <xf numFmtId="39" fontId="7" fillId="0" borderId="0" xfId="0" applyFont="1" applyAlignment="1">
      <alignment horizontal="centerContinuous"/>
    </xf>
    <xf numFmtId="39" fontId="9" fillId="0" borderId="0" xfId="0" applyFont="1" applyAlignment="1">
      <alignment horizontal="centerContinuous"/>
    </xf>
    <xf numFmtId="39" fontId="10" fillId="0" borderId="0" xfId="0" applyFont="1" applyAlignment="1">
      <alignment horizontal="centerContinuous"/>
    </xf>
    <xf numFmtId="39" fontId="8" fillId="0" borderId="0" xfId="0" applyFont="1" applyAlignment="1">
      <alignment horizontal="left" vertical="top" wrapText="1" indent="1"/>
    </xf>
    <xf numFmtId="39" fontId="7" fillId="0" borderId="0" xfId="0" applyFont="1" applyAlignment="1">
      <alignment/>
    </xf>
    <xf numFmtId="37" fontId="8" fillId="0" borderId="0" xfId="0" applyNumberFormat="1" applyFont="1" applyFill="1" applyBorder="1" applyAlignment="1">
      <alignment horizontal="right"/>
    </xf>
    <xf numFmtId="37" fontId="8" fillId="0" borderId="0" xfId="0" applyNumberFormat="1" applyFont="1" applyFill="1" applyBorder="1" applyAlignment="1">
      <alignment horizontal="left"/>
    </xf>
    <xf numFmtId="39" fontId="8" fillId="0" borderId="0" xfId="0" applyFont="1" applyAlignment="1">
      <alignment vertical="top"/>
    </xf>
    <xf numFmtId="39" fontId="8" fillId="0" borderId="0" xfId="0" applyFont="1" applyBorder="1" applyAlignment="1">
      <alignment vertical="top"/>
    </xf>
    <xf numFmtId="37" fontId="8" fillId="0" borderId="0" xfId="0" applyNumberFormat="1" applyFont="1" applyFill="1" applyBorder="1" applyAlignment="1">
      <alignment horizontal="right" vertical="top"/>
    </xf>
    <xf numFmtId="39" fontId="8" fillId="0" borderId="0" xfId="0" applyFont="1" applyAlignment="1">
      <alignment horizontal="center" wrapText="1"/>
    </xf>
    <xf numFmtId="39" fontId="13" fillId="0" borderId="0" xfId="0" applyFont="1" applyAlignment="1">
      <alignment/>
    </xf>
    <xf numFmtId="39" fontId="9" fillId="0" borderId="1" xfId="0" applyFont="1" applyBorder="1" applyAlignment="1">
      <alignment horizontal="centerContinuous"/>
    </xf>
    <xf numFmtId="39" fontId="8" fillId="0" borderId="0" xfId="0" applyFont="1" applyBorder="1" applyAlignment="1">
      <alignment wrapText="1"/>
    </xf>
    <xf numFmtId="0" fontId="10" fillId="0" borderId="0" xfId="0" applyNumberFormat="1" applyFont="1" applyBorder="1" applyAlignment="1" applyProtection="1">
      <alignment horizontal="center"/>
      <protection/>
    </xf>
    <xf numFmtId="167" fontId="8" fillId="0" borderId="0" xfId="0" applyNumberFormat="1" applyFont="1" applyFill="1" applyAlignment="1" applyProtection="1">
      <alignment/>
      <protection/>
    </xf>
    <xf numFmtId="41" fontId="8" fillId="0" borderId="0" xfId="0" applyNumberFormat="1" applyFont="1" applyFill="1" applyBorder="1" applyAlignment="1" applyProtection="1">
      <alignment/>
      <protection/>
    </xf>
    <xf numFmtId="167" fontId="8" fillId="0" borderId="0" xfId="0" applyNumberFormat="1" applyFont="1" applyFill="1" applyBorder="1" applyAlignment="1" applyProtection="1">
      <alignment/>
      <protection/>
    </xf>
    <xf numFmtId="44" fontId="8" fillId="0" borderId="0" xfId="17" applyFont="1" applyAlignment="1" applyProtection="1">
      <alignment/>
      <protection/>
    </xf>
    <xf numFmtId="44" fontId="8" fillId="0" borderId="0" xfId="17" applyFont="1" applyFill="1" applyAlignment="1" applyProtection="1">
      <alignment/>
      <protection/>
    </xf>
    <xf numFmtId="0" fontId="8" fillId="0" borderId="0" xfId="23" applyFont="1" applyAlignment="1">
      <alignment/>
      <protection/>
    </xf>
    <xf numFmtId="0" fontId="9" fillId="0" borderId="0" xfId="23" applyNumberFormat="1" applyFont="1" applyAlignment="1">
      <alignment/>
      <protection/>
    </xf>
    <xf numFmtId="0" fontId="9" fillId="0" borderId="0" xfId="25" applyFont="1" applyAlignment="1" applyProtection="1">
      <alignment horizontal="center"/>
      <protection/>
    </xf>
    <xf numFmtId="0" fontId="9" fillId="0" borderId="0" xfId="23" applyNumberFormat="1" applyFont="1" applyBorder="1" applyAlignment="1">
      <alignment/>
      <protection/>
    </xf>
    <xf numFmtId="0" fontId="9" fillId="0" borderId="1" xfId="24" applyNumberFormat="1" applyFont="1" applyBorder="1" applyAlignment="1" applyProtection="1">
      <alignment horizontal="center"/>
      <protection/>
    </xf>
    <xf numFmtId="41" fontId="8" fillId="0" borderId="0" xfId="23" applyNumberFormat="1" applyFont="1" applyBorder="1" applyAlignment="1">
      <alignment/>
      <protection/>
    </xf>
    <xf numFmtId="0" fontId="8" fillId="0" borderId="0" xfId="23" applyNumberFormat="1" applyFont="1" applyAlignment="1">
      <alignment/>
      <protection/>
    </xf>
    <xf numFmtId="0" fontId="8" fillId="0" borderId="0" xfId="23" applyNumberFormat="1" applyFont="1" applyBorder="1" applyAlignment="1">
      <alignment/>
      <protection/>
    </xf>
    <xf numFmtId="0" fontId="8" fillId="0" borderId="0" xfId="23" applyNumberFormat="1" applyFont="1" applyBorder="1" applyAlignment="1">
      <alignment wrapText="1"/>
      <protection/>
    </xf>
    <xf numFmtId="0" fontId="8" fillId="0" borderId="0" xfId="23" applyNumberFormat="1" applyFont="1" applyFill="1" applyBorder="1" applyAlignment="1">
      <alignment/>
      <protection/>
    </xf>
    <xf numFmtId="0" fontId="23" fillId="0" borderId="0" xfId="23" applyNumberFormat="1" applyFont="1" applyFill="1" applyBorder="1" applyAlignment="1">
      <alignment/>
      <protection/>
    </xf>
    <xf numFmtId="44" fontId="8" fillId="0" borderId="0" xfId="23" applyNumberFormat="1" applyFont="1" applyFill="1" applyBorder="1" applyAlignment="1">
      <alignment/>
      <protection/>
    </xf>
    <xf numFmtId="43" fontId="8" fillId="0" borderId="0" xfId="15" applyFont="1" applyFill="1" applyBorder="1" applyAlignment="1">
      <alignment/>
    </xf>
    <xf numFmtId="0" fontId="9" fillId="0" borderId="0" xfId="0" applyNumberFormat="1" applyFont="1" applyBorder="1" applyAlignment="1">
      <alignment horizontal="center"/>
    </xf>
    <xf numFmtId="0" fontId="9" fillId="0" borderId="1" xfId="25" applyFont="1" applyBorder="1" applyAlignment="1" applyProtection="1">
      <alignment horizontal="center"/>
      <protection/>
    </xf>
    <xf numFmtId="0" fontId="9" fillId="0" borderId="0" xfId="25" applyFont="1" applyBorder="1" applyAlignment="1" applyProtection="1">
      <alignment horizontal="center"/>
      <protection/>
    </xf>
    <xf numFmtId="0" fontId="12" fillId="0" borderId="0" xfId="0" applyNumberFormat="1" applyFont="1" applyBorder="1" applyAlignment="1">
      <alignment/>
    </xf>
    <xf numFmtId="0" fontId="8" fillId="0" borderId="0" xfId="0" applyNumberFormat="1" applyFont="1" applyBorder="1" applyAlignment="1">
      <alignment horizontal="center"/>
    </xf>
    <xf numFmtId="9" fontId="8" fillId="0" borderId="0" xfId="26" applyFont="1" applyFill="1" applyAlignment="1">
      <alignment/>
    </xf>
    <xf numFmtId="9" fontId="8" fillId="0" borderId="1" xfId="26" applyFont="1" applyFill="1" applyBorder="1" applyAlignment="1">
      <alignment/>
    </xf>
    <xf numFmtId="167" fontId="8" fillId="0" borderId="0" xfId="17" applyNumberFormat="1" applyFont="1" applyAlignment="1">
      <alignment horizontal="center"/>
    </xf>
    <xf numFmtId="167" fontId="8" fillId="0" borderId="0" xfId="17" applyNumberFormat="1" applyFont="1" applyFill="1" applyAlignment="1">
      <alignment horizontal="center"/>
    </xf>
    <xf numFmtId="41" fontId="8" fillId="0" borderId="0" xfId="0" applyNumberFormat="1" applyFont="1" applyAlignment="1">
      <alignment horizontal="center"/>
    </xf>
    <xf numFmtId="41" fontId="8" fillId="0" borderId="0" xfId="0" applyNumberFormat="1" applyFont="1" applyFill="1" applyAlignment="1">
      <alignment horizontal="center"/>
    </xf>
    <xf numFmtId="44" fontId="8" fillId="0" borderId="0" xfId="17" applyFont="1" applyFill="1" applyAlignment="1">
      <alignment/>
    </xf>
    <xf numFmtId="37" fontId="8" fillId="0" borderId="0" xfId="0" applyNumberFormat="1" applyFont="1" applyAlignment="1">
      <alignment horizontal="right"/>
    </xf>
    <xf numFmtId="175" fontId="8" fillId="0" borderId="0" xfId="0" applyNumberFormat="1" applyFont="1" applyAlignment="1">
      <alignment/>
    </xf>
    <xf numFmtId="39" fontId="24" fillId="0" borderId="0" xfId="20" applyFont="1" applyAlignment="1" quotePrefix="1">
      <alignment/>
    </xf>
    <xf numFmtId="39" fontId="24" fillId="0" borderId="0" xfId="20" applyFont="1" applyAlignment="1" quotePrefix="1">
      <alignment wrapText="1"/>
    </xf>
    <xf numFmtId="39" fontId="24" fillId="0" borderId="0" xfId="20" applyFont="1" applyFill="1" applyAlignment="1" quotePrefix="1">
      <alignment/>
    </xf>
    <xf numFmtId="39" fontId="25" fillId="0" borderId="0" xfId="20" applyFont="1" applyFill="1" applyAlignment="1" quotePrefix="1">
      <alignment/>
    </xf>
    <xf numFmtId="39" fontId="25" fillId="0" borderId="0" xfId="20" applyFont="1" applyFill="1" applyBorder="1" applyAlignment="1" quotePrefix="1">
      <alignment/>
    </xf>
    <xf numFmtId="39" fontId="15" fillId="0" borderId="0" xfId="0" applyFont="1" applyAlignment="1">
      <alignment horizontal="center"/>
    </xf>
    <xf numFmtId="39" fontId="8" fillId="0" borderId="0" xfId="0" applyFont="1" applyFill="1" applyBorder="1" applyAlignment="1">
      <alignment/>
    </xf>
    <xf numFmtId="39" fontId="15" fillId="0" borderId="0" xfId="0" applyFont="1" applyAlignment="1">
      <alignment horizontal="centerContinuous"/>
    </xf>
    <xf numFmtId="39" fontId="14" fillId="0" borderId="0" xfId="0" applyFont="1" applyAlignment="1">
      <alignment/>
    </xf>
    <xf numFmtId="39" fontId="26" fillId="0" borderId="0" xfId="0" applyFont="1" applyAlignment="1">
      <alignment/>
    </xf>
    <xf numFmtId="39" fontId="15" fillId="0" borderId="0" xfId="0" applyFont="1" applyFill="1" applyAlignment="1">
      <alignment/>
    </xf>
    <xf numFmtId="39" fontId="15" fillId="2" borderId="0" xfId="0" applyFont="1" applyFill="1" applyAlignment="1">
      <alignment/>
    </xf>
    <xf numFmtId="39" fontId="7" fillId="2" borderId="0" xfId="0" applyFont="1" applyFill="1" applyAlignment="1" quotePrefix="1">
      <alignment/>
    </xf>
    <xf numFmtId="39" fontId="27" fillId="2" borderId="0" xfId="0" applyFont="1" applyFill="1" applyAlignment="1">
      <alignment/>
    </xf>
    <xf numFmtId="172" fontId="15" fillId="0" borderId="0" xfId="0" applyNumberFormat="1" applyFont="1" applyAlignment="1">
      <alignment/>
    </xf>
    <xf numFmtId="39" fontId="16" fillId="0" borderId="0" xfId="0" applyFont="1" applyFill="1" applyAlignment="1" quotePrefix="1">
      <alignment/>
    </xf>
    <xf numFmtId="39" fontId="28" fillId="0" borderId="0" xfId="0" applyFont="1" applyAlignment="1">
      <alignment/>
    </xf>
    <xf numFmtId="39" fontId="15" fillId="0" borderId="0" xfId="0" applyFont="1" applyAlignment="1">
      <alignment vertical="top"/>
    </xf>
    <xf numFmtId="39" fontId="8" fillId="0" borderId="0" xfId="0" applyFont="1" applyAlignment="1">
      <alignment shrinkToFit="1"/>
    </xf>
    <xf numFmtId="39" fontId="15" fillId="0" borderId="0" xfId="0" applyFont="1" applyAlignment="1">
      <alignment horizontal="justify"/>
    </xf>
    <xf numFmtId="39" fontId="13" fillId="0" borderId="0" xfId="0" applyFont="1" applyAlignment="1">
      <alignment shrinkToFit="1"/>
    </xf>
    <xf numFmtId="0" fontId="9" fillId="0" borderId="0" xfId="24" applyNumberFormat="1" applyFont="1" applyBorder="1" applyAlignment="1" applyProtection="1">
      <alignment horizontal="centerContinuous"/>
      <protection/>
    </xf>
    <xf numFmtId="39" fontId="8" fillId="0" borderId="0" xfId="0" applyFont="1" applyFill="1" applyBorder="1" applyAlignment="1">
      <alignment horizontal="left" vertical="top" wrapText="1"/>
    </xf>
    <xf numFmtId="39" fontId="0" fillId="0" borderId="0" xfId="0" applyAlignment="1">
      <alignment/>
    </xf>
    <xf numFmtId="39" fontId="0" fillId="0" borderId="0" xfId="0" applyBorder="1" applyAlignment="1">
      <alignment/>
    </xf>
    <xf numFmtId="0" fontId="30" fillId="0" borderId="0" xfId="0" applyNumberFormat="1" applyFont="1" applyAlignment="1" applyProtection="1">
      <alignment/>
      <protection/>
    </xf>
    <xf numFmtId="39" fontId="9" fillId="0" borderId="0" xfId="0" applyFont="1" applyFill="1" applyBorder="1" applyAlignment="1">
      <alignment horizontal="center" vertical="center" wrapText="1"/>
    </xf>
    <xf numFmtId="37" fontId="9" fillId="0" borderId="0" xfId="0" applyNumberFormat="1" applyFont="1" applyBorder="1" applyAlignment="1">
      <alignment horizontal="center"/>
    </xf>
    <xf numFmtId="0" fontId="9" fillId="0" borderId="0" xfId="0" applyNumberFormat="1" applyFont="1" applyBorder="1" applyAlignment="1" applyProtection="1">
      <alignment horizontal="center"/>
      <protection/>
    </xf>
    <xf numFmtId="0" fontId="22" fillId="0" borderId="2" xfId="0" applyNumberFormat="1" applyFont="1" applyBorder="1" applyAlignment="1" applyProtection="1">
      <alignment horizontal="center"/>
      <protection/>
    </xf>
    <xf numFmtId="17" fontId="9" fillId="0" borderId="0" xfId="0" applyNumberFormat="1" applyFont="1" applyBorder="1" applyAlignment="1" quotePrefix="1">
      <alignment horizontal="center"/>
    </xf>
    <xf numFmtId="0" fontId="9" fillId="0" borderId="2" xfId="0" applyNumberFormat="1" applyFont="1" applyBorder="1" applyAlignment="1">
      <alignment horizontal="center"/>
    </xf>
    <xf numFmtId="41" fontId="8" fillId="0" borderId="0" xfId="17" applyNumberFormat="1" applyFont="1" applyFill="1" applyAlignment="1">
      <alignment/>
    </xf>
    <xf numFmtId="41" fontId="8" fillId="0" borderId="0" xfId="17" applyNumberFormat="1" applyFont="1" applyFill="1" applyBorder="1" applyAlignment="1">
      <alignment/>
    </xf>
    <xf numFmtId="39" fontId="32" fillId="0" borderId="0" xfId="20" applyFont="1" applyAlignment="1">
      <alignment/>
    </xf>
    <xf numFmtId="39" fontId="14" fillId="0" borderId="0" xfId="0" applyFont="1" applyBorder="1" applyAlignment="1">
      <alignment horizontal="right"/>
    </xf>
    <xf numFmtId="39" fontId="8" fillId="0" borderId="0" xfId="0" applyFont="1" applyAlignment="1">
      <alignment/>
    </xf>
    <xf numFmtId="0" fontId="8" fillId="0" borderId="0" xfId="0" applyNumberFormat="1" applyFont="1" applyBorder="1" applyAlignment="1">
      <alignment/>
    </xf>
    <xf numFmtId="0" fontId="8" fillId="0" borderId="0" xfId="0" applyNumberFormat="1" applyFont="1" applyBorder="1" applyAlignment="1">
      <alignment horizontal="right"/>
    </xf>
    <xf numFmtId="42" fontId="8" fillId="0" borderId="0" xfId="0" applyNumberFormat="1" applyFont="1" applyBorder="1" applyAlignment="1">
      <alignment/>
    </xf>
    <xf numFmtId="9" fontId="8" fillId="0" borderId="0" xfId="26" applyFont="1" applyFill="1" applyAlignment="1">
      <alignment/>
    </xf>
    <xf numFmtId="41" fontId="8" fillId="0" borderId="0" xfId="0" applyNumberFormat="1" applyFont="1" applyBorder="1" applyAlignment="1">
      <alignment/>
    </xf>
    <xf numFmtId="168" fontId="8" fillId="0" borderId="0" xfId="15" applyNumberFormat="1" applyFont="1" applyBorder="1" applyAlignment="1">
      <alignment/>
    </xf>
    <xf numFmtId="39" fontId="9" fillId="0" borderId="0" xfId="0" applyFont="1" applyAlignment="1">
      <alignment/>
    </xf>
    <xf numFmtId="166" fontId="8" fillId="0" borderId="3" xfId="26" applyNumberFormat="1" applyFont="1" applyFill="1" applyBorder="1" applyAlignment="1">
      <alignment/>
    </xf>
    <xf numFmtId="39" fontId="8" fillId="0" borderId="0" xfId="0" applyFont="1" applyBorder="1" applyAlignment="1">
      <alignment/>
    </xf>
    <xf numFmtId="166" fontId="8" fillId="0" borderId="3" xfId="26" applyNumberFormat="1" applyFont="1" applyFill="1" applyBorder="1" applyAlignment="1">
      <alignment/>
    </xf>
    <xf numFmtId="39" fontId="11" fillId="0" borderId="0" xfId="0" applyFont="1" applyAlignment="1">
      <alignment/>
    </xf>
    <xf numFmtId="39" fontId="11" fillId="0" borderId="0" xfId="0" applyFont="1" applyAlignment="1">
      <alignment/>
    </xf>
    <xf numFmtId="39" fontId="8" fillId="0" borderId="0" xfId="0" applyFont="1" applyAlignment="1">
      <alignment horizontal="left" indent="1"/>
    </xf>
    <xf numFmtId="0" fontId="33" fillId="0" borderId="0" xfId="0" applyNumberFormat="1" applyFont="1" applyBorder="1" applyAlignment="1">
      <alignment horizontal="left" wrapText="1" indent="2"/>
    </xf>
    <xf numFmtId="0" fontId="33" fillId="0" borderId="0" xfId="23" applyNumberFormat="1" applyFont="1" applyFill="1" applyAlignment="1">
      <alignment/>
      <protection/>
    </xf>
    <xf numFmtId="9" fontId="33" fillId="0" borderId="0" xfId="26" applyFont="1" applyFill="1" applyBorder="1" applyAlignment="1">
      <alignment/>
    </xf>
    <xf numFmtId="39" fontId="33" fillId="0" borderId="0" xfId="0" applyFont="1" applyAlignment="1">
      <alignment horizontal="left" indent="1"/>
    </xf>
    <xf numFmtId="166" fontId="8" fillId="0" borderId="3" xfId="26" applyNumberFormat="1" applyFont="1" applyFill="1" applyBorder="1" applyAlignment="1">
      <alignment/>
    </xf>
    <xf numFmtId="42" fontId="8" fillId="0" borderId="3" xfId="0" applyNumberFormat="1" applyFont="1" applyBorder="1" applyAlignment="1">
      <alignment/>
    </xf>
    <xf numFmtId="15" fontId="9" fillId="0" borderId="0" xfId="0" applyNumberFormat="1" applyFont="1" applyAlignment="1" applyProtection="1" quotePrefix="1">
      <alignment horizontal="left"/>
      <protection/>
    </xf>
    <xf numFmtId="39" fontId="9" fillId="0" borderId="0" xfId="0" applyFont="1" applyBorder="1" applyAlignment="1">
      <alignment/>
    </xf>
    <xf numFmtId="167" fontId="8" fillId="0" borderId="3" xfId="17" applyNumberFormat="1" applyFont="1" applyFill="1" applyBorder="1" applyAlignment="1">
      <alignment/>
    </xf>
    <xf numFmtId="39" fontId="9" fillId="0" borderId="0" xfId="0" applyFont="1" applyAlignment="1">
      <alignment horizontal="left"/>
    </xf>
    <xf numFmtId="0" fontId="9" fillId="0" borderId="1" xfId="0" applyNumberFormat="1" applyFont="1" applyBorder="1" applyAlignment="1" quotePrefix="1">
      <alignment horizontal="center" wrapText="1"/>
    </xf>
    <xf numFmtId="39" fontId="9" fillId="0" borderId="0" xfId="0" applyFont="1" applyAlignment="1" quotePrefix="1">
      <alignment horizontal="center"/>
    </xf>
    <xf numFmtId="39" fontId="11" fillId="0" borderId="0" xfId="0" applyFont="1" applyAlignment="1">
      <alignment horizontal="left"/>
    </xf>
    <xf numFmtId="37" fontId="8" fillId="0" borderId="0" xfId="0" applyNumberFormat="1" applyFont="1" applyBorder="1" applyAlignment="1">
      <alignment/>
    </xf>
    <xf numFmtId="9" fontId="8" fillId="0" borderId="0" xfId="26" applyFont="1" applyFill="1" applyAlignment="1">
      <alignment horizontal="right"/>
    </xf>
    <xf numFmtId="0" fontId="8" fillId="0" borderId="0" xfId="0" applyNumberFormat="1" applyFont="1" applyBorder="1" applyAlignment="1">
      <alignment wrapText="1"/>
    </xf>
    <xf numFmtId="41" fontId="8" fillId="0" borderId="0" xfId="0" applyNumberFormat="1" applyFont="1" applyFill="1" applyBorder="1" applyAlignment="1">
      <alignment/>
    </xf>
    <xf numFmtId="9" fontId="8" fillId="0" borderId="3" xfId="26" applyFont="1" applyFill="1" applyBorder="1" applyAlignment="1">
      <alignment/>
    </xf>
    <xf numFmtId="39" fontId="8" fillId="0" borderId="0" xfId="0" applyFont="1" applyAlignment="1">
      <alignment/>
    </xf>
    <xf numFmtId="0" fontId="9" fillId="0" borderId="0" xfId="23" applyNumberFormat="1" applyFont="1" applyBorder="1" applyAlignment="1">
      <alignment/>
      <protection/>
    </xf>
    <xf numFmtId="0" fontId="8" fillId="0" borderId="0" xfId="23" applyNumberFormat="1" applyFont="1" applyBorder="1" applyAlignment="1">
      <alignment/>
      <protection/>
    </xf>
    <xf numFmtId="0" fontId="33" fillId="0" borderId="0" xfId="0" applyNumberFormat="1" applyFont="1" applyBorder="1" applyAlignment="1">
      <alignment horizontal="left" wrapText="1"/>
    </xf>
    <xf numFmtId="39" fontId="9" fillId="0" borderId="0" xfId="0" applyFont="1" applyAlignment="1">
      <alignment/>
    </xf>
    <xf numFmtId="167" fontId="8" fillId="0" borderId="0" xfId="17" applyNumberFormat="1" applyFont="1" applyBorder="1" applyAlignment="1">
      <alignment/>
    </xf>
    <xf numFmtId="9" fontId="8" fillId="0" borderId="0" xfId="26" applyFont="1" applyAlignment="1">
      <alignment/>
    </xf>
    <xf numFmtId="41" fontId="8" fillId="0" borderId="0" xfId="23" applyNumberFormat="1" applyFont="1" applyFill="1" applyBorder="1" applyAlignment="1">
      <alignment/>
      <protection/>
    </xf>
    <xf numFmtId="167" fontId="8" fillId="0" borderId="3" xfId="17" applyNumberFormat="1" applyFont="1" applyFill="1" applyBorder="1" applyAlignment="1">
      <alignment/>
    </xf>
    <xf numFmtId="167" fontId="8" fillId="0" borderId="0" xfId="17" applyNumberFormat="1" applyFont="1" applyFill="1" applyBorder="1" applyAlignment="1">
      <alignment/>
    </xf>
    <xf numFmtId="167" fontId="8" fillId="0" borderId="0" xfId="17" applyNumberFormat="1" applyFont="1" applyFill="1" applyBorder="1" applyAlignment="1">
      <alignment/>
    </xf>
    <xf numFmtId="0" fontId="20" fillId="0" borderId="0" xfId="0" applyNumberFormat="1" applyFont="1" applyAlignment="1" applyProtection="1">
      <alignment/>
      <protection/>
    </xf>
    <xf numFmtId="0" fontId="20" fillId="0" borderId="0" xfId="0" applyNumberFormat="1" applyFont="1" applyAlignment="1" applyProtection="1" quotePrefix="1">
      <alignment vertical="top"/>
      <protection/>
    </xf>
    <xf numFmtId="39" fontId="31" fillId="0" borderId="0" xfId="0" applyFont="1" applyAlignment="1">
      <alignment horizontal="left" vertical="top" wrapText="1"/>
    </xf>
    <xf numFmtId="168" fontId="8" fillId="0" borderId="0" xfId="15" applyNumberFormat="1" applyFont="1" applyFill="1" applyBorder="1" applyAlignment="1">
      <alignment/>
    </xf>
    <xf numFmtId="39" fontId="8" fillId="0" borderId="0" xfId="0" applyFont="1" applyBorder="1" applyAlignment="1">
      <alignment horizontal="left"/>
    </xf>
    <xf numFmtId="39" fontId="8" fillId="0" borderId="0" xfId="0" applyFont="1" applyBorder="1" applyAlignment="1">
      <alignment/>
    </xf>
    <xf numFmtId="169" fontId="9" fillId="0" borderId="0" xfId="0" applyNumberFormat="1" applyFont="1" applyBorder="1" applyAlignment="1" quotePrefix="1">
      <alignment horizontal="center"/>
    </xf>
    <xf numFmtId="4" fontId="9" fillId="0" borderId="0" xfId="0" applyNumberFormat="1" applyFont="1" applyAlignment="1" applyProtection="1">
      <alignment/>
      <protection/>
    </xf>
    <xf numFmtId="37" fontId="11" fillId="0" borderId="0" xfId="0" applyNumberFormat="1" applyFont="1" applyFill="1" applyBorder="1" applyAlignment="1">
      <alignment horizontal="left"/>
    </xf>
    <xf numFmtId="168" fontId="8" fillId="0" borderId="0" xfId="15" applyNumberFormat="1" applyFont="1" applyFill="1" applyAlignment="1">
      <alignment/>
    </xf>
    <xf numFmtId="39" fontId="8" fillId="0" borderId="0" xfId="0" applyFont="1" applyBorder="1" applyAlignment="1">
      <alignment vertical="top"/>
    </xf>
    <xf numFmtId="39" fontId="9" fillId="0" borderId="0" xfId="0" applyFont="1" applyFill="1" applyAlignment="1">
      <alignment/>
    </xf>
    <xf numFmtId="37" fontId="8" fillId="0" borderId="1" xfId="0" applyNumberFormat="1" applyFont="1" applyFill="1" applyBorder="1" applyAlignment="1">
      <alignment/>
    </xf>
    <xf numFmtId="168" fontId="8" fillId="0" borderId="1" xfId="15" applyNumberFormat="1" applyFont="1" applyFill="1" applyBorder="1" applyAlignment="1">
      <alignment/>
    </xf>
    <xf numFmtId="9" fontId="8" fillId="0" borderId="0" xfId="26" applyNumberFormat="1" applyFont="1" applyFill="1" applyAlignment="1">
      <alignment/>
    </xf>
    <xf numFmtId="42" fontId="8" fillId="0" borderId="0" xfId="15" applyNumberFormat="1" applyFont="1" applyFill="1" applyBorder="1" applyAlignment="1">
      <alignment/>
    </xf>
    <xf numFmtId="39" fontId="35" fillId="0" borderId="0" xfId="0" applyFont="1" applyAlignment="1">
      <alignment/>
    </xf>
    <xf numFmtId="0" fontId="8" fillId="0" borderId="0" xfId="0" applyNumberFormat="1" applyFont="1" applyFill="1" applyAlignment="1" applyProtection="1">
      <alignment/>
      <protection/>
    </xf>
    <xf numFmtId="168" fontId="34" fillId="0" borderId="0" xfId="15" applyNumberFormat="1" applyFont="1" applyFill="1" applyAlignment="1" applyProtection="1">
      <alignment/>
      <protection/>
    </xf>
    <xf numFmtId="0" fontId="34" fillId="0" borderId="0" xfId="0" applyNumberFormat="1" applyFont="1" applyFill="1" applyAlignment="1" applyProtection="1">
      <alignment/>
      <protection/>
    </xf>
    <xf numFmtId="0" fontId="29" fillId="0" borderId="1" xfId="0" applyNumberFormat="1" applyFont="1" applyBorder="1" applyAlignment="1" applyProtection="1">
      <alignment/>
      <protection/>
    </xf>
    <xf numFmtId="178" fontId="29" fillId="0" borderId="1" xfId="0" applyNumberFormat="1" applyFont="1" applyBorder="1" applyAlignment="1" applyProtection="1">
      <alignment/>
      <protection/>
    </xf>
    <xf numFmtId="39" fontId="29" fillId="0" borderId="0" xfId="0" applyFont="1" applyAlignment="1">
      <alignment/>
    </xf>
    <xf numFmtId="167" fontId="29" fillId="0" borderId="3" xfId="17" applyNumberFormat="1" applyFont="1" applyBorder="1" applyAlignment="1" applyProtection="1">
      <alignment/>
      <protection/>
    </xf>
    <xf numFmtId="9" fontId="8" fillId="0" borderId="0" xfId="17" applyNumberFormat="1" applyFont="1" applyBorder="1" applyAlignment="1">
      <alignment/>
    </xf>
    <xf numFmtId="9" fontId="8" fillId="0" borderId="0" xfId="26" applyNumberFormat="1" applyFont="1" applyFill="1" applyAlignment="1">
      <alignment/>
    </xf>
    <xf numFmtId="9" fontId="8" fillId="0" borderId="0" xfId="26" applyNumberFormat="1" applyFont="1" applyFill="1" applyBorder="1" applyAlignment="1">
      <alignment/>
    </xf>
    <xf numFmtId="9" fontId="8" fillId="0" borderId="3" xfId="26" applyNumberFormat="1" applyFont="1" applyFill="1" applyBorder="1" applyAlignment="1">
      <alignment/>
    </xf>
    <xf numFmtId="9" fontId="8" fillId="0" borderId="3" xfId="26" applyNumberFormat="1" applyFont="1" applyFill="1" applyBorder="1" applyAlignment="1">
      <alignment/>
    </xf>
    <xf numFmtId="37" fontId="36" fillId="0" borderId="0" xfId="0" applyNumberFormat="1" applyFont="1" applyFill="1" applyBorder="1" applyAlignment="1">
      <alignment horizontal="left"/>
    </xf>
    <xf numFmtId="9" fontId="8" fillId="0" borderId="4" xfId="26" applyNumberFormat="1" applyFont="1" applyFill="1" applyBorder="1" applyAlignment="1">
      <alignment/>
    </xf>
    <xf numFmtId="39" fontId="20" fillId="0" borderId="0" xfId="0" applyFont="1" applyFill="1" applyAlignment="1">
      <alignment horizontal="left" vertical="top"/>
    </xf>
    <xf numFmtId="39" fontId="16" fillId="0" borderId="0" xfId="0" applyFont="1" applyFill="1" applyAlignment="1">
      <alignment/>
    </xf>
    <xf numFmtId="39" fontId="37" fillId="0" borderId="0" xfId="0" applyFont="1" applyAlignment="1">
      <alignment/>
    </xf>
    <xf numFmtId="167" fontId="8" fillId="0" borderId="0" xfId="17" applyNumberFormat="1" applyFont="1" applyFill="1" applyBorder="1" applyAlignment="1">
      <alignment/>
    </xf>
    <xf numFmtId="41" fontId="8" fillId="0" borderId="1" xfId="0" applyNumberFormat="1" applyFont="1" applyFill="1" applyBorder="1" applyAlignment="1">
      <alignment/>
    </xf>
    <xf numFmtId="42" fontId="8" fillId="0" borderId="0" xfId="0" applyNumberFormat="1" applyFont="1" applyFill="1" applyBorder="1" applyAlignment="1">
      <alignment/>
    </xf>
    <xf numFmtId="37" fontId="8" fillId="0" borderId="0" xfId="0" applyNumberFormat="1" applyFont="1" applyFill="1" applyBorder="1" applyAlignment="1">
      <alignment/>
    </xf>
    <xf numFmtId="42" fontId="8" fillId="0" borderId="3" xfId="0" applyNumberFormat="1" applyFont="1" applyFill="1" applyBorder="1" applyAlignment="1">
      <alignment/>
    </xf>
    <xf numFmtId="39" fontId="9" fillId="0" borderId="0" xfId="0" applyFont="1" applyFill="1" applyAlignment="1">
      <alignment horizontal="center"/>
    </xf>
    <xf numFmtId="168" fontId="8" fillId="0" borderId="1" xfId="15" applyNumberFormat="1" applyFont="1" applyFill="1" applyBorder="1" applyAlignment="1">
      <alignment/>
    </xf>
    <xf numFmtId="168" fontId="8" fillId="0" borderId="0" xfId="15" applyNumberFormat="1" applyFont="1" applyFill="1" applyAlignment="1">
      <alignment/>
    </xf>
    <xf numFmtId="39" fontId="0" fillId="0" borderId="0" xfId="0" applyFill="1" applyAlignment="1">
      <alignment/>
    </xf>
    <xf numFmtId="168" fontId="8" fillId="0" borderId="2" xfId="15" applyNumberFormat="1" applyFont="1" applyFill="1" applyBorder="1" applyAlignment="1">
      <alignment/>
    </xf>
    <xf numFmtId="168" fontId="8" fillId="0" borderId="2" xfId="15" applyNumberFormat="1" applyFont="1" applyFill="1" applyBorder="1" applyAlignment="1">
      <alignment/>
    </xf>
    <xf numFmtId="39" fontId="20" fillId="0" borderId="0" xfId="0" applyFont="1" applyAlignment="1">
      <alignment/>
    </xf>
    <xf numFmtId="39" fontId="10" fillId="0" borderId="0" xfId="0" applyFont="1" applyFill="1" applyAlignment="1">
      <alignment horizontal="centerContinuous"/>
    </xf>
    <xf numFmtId="39" fontId="8" fillId="0" borderId="0" xfId="0" applyFont="1" applyAlignment="1" quotePrefix="1">
      <alignment/>
    </xf>
    <xf numFmtId="167" fontId="8" fillId="0" borderId="0" xfId="0" applyNumberFormat="1" applyFont="1" applyAlignment="1" applyProtection="1">
      <alignment/>
      <protection/>
    </xf>
    <xf numFmtId="42" fontId="33" fillId="0" borderId="0" xfId="15" applyNumberFormat="1" applyFont="1" applyFill="1" applyBorder="1" applyAlignment="1">
      <alignment/>
    </xf>
    <xf numFmtId="9" fontId="33" fillId="0" borderId="0" xfId="15" applyNumberFormat="1" applyFont="1" applyFill="1" applyBorder="1" applyAlignment="1">
      <alignment/>
    </xf>
    <xf numFmtId="39" fontId="8" fillId="0" borderId="0" xfId="0" applyFont="1" applyFill="1" applyBorder="1" applyAlignment="1">
      <alignment/>
    </xf>
    <xf numFmtId="39" fontId="8" fillId="0" borderId="0" xfId="0" applyFont="1" applyFill="1" applyBorder="1" applyAlignment="1">
      <alignment horizontal="right"/>
    </xf>
    <xf numFmtId="39" fontId="20" fillId="0" borderId="0" xfId="0" applyFont="1" applyAlignment="1">
      <alignment/>
    </xf>
    <xf numFmtId="39" fontId="9" fillId="0" borderId="0" xfId="0" applyFont="1" applyBorder="1" applyAlignment="1" quotePrefix="1">
      <alignment horizontal="center"/>
    </xf>
    <xf numFmtId="39" fontId="9" fillId="0" borderId="1" xfId="0" applyFont="1" applyBorder="1" applyAlignment="1" quotePrefix="1">
      <alignment horizontal="center"/>
    </xf>
    <xf numFmtId="171" fontId="9" fillId="0" borderId="0" xfId="15" applyNumberFormat="1" applyFont="1" applyBorder="1" applyAlignment="1" quotePrefix="1">
      <alignment horizontal="center"/>
    </xf>
    <xf numFmtId="168" fontId="8" fillId="0" borderId="0" xfId="17" applyNumberFormat="1" applyFont="1" applyAlignment="1">
      <alignment/>
    </xf>
    <xf numFmtId="41" fontId="8" fillId="0" borderId="4" xfId="15" applyNumberFormat="1" applyFont="1" applyFill="1" applyBorder="1" applyAlignment="1">
      <alignment/>
    </xf>
    <xf numFmtId="168" fontId="8" fillId="0" borderId="0" xfId="15" applyNumberFormat="1" applyFont="1" applyFill="1" applyAlignment="1">
      <alignment horizontal="left" vertical="top" wrapText="1" indent="1"/>
    </xf>
    <xf numFmtId="168" fontId="9" fillId="0" borderId="2" xfId="15" applyNumberFormat="1" applyFont="1" applyFill="1" applyBorder="1" applyAlignment="1">
      <alignment/>
    </xf>
    <xf numFmtId="37" fontId="29" fillId="0" borderId="0" xfId="0" applyNumberFormat="1" applyFont="1" applyAlignment="1">
      <alignment/>
    </xf>
    <xf numFmtId="9" fontId="8" fillId="0" borderId="3" xfId="26" applyNumberFormat="1" applyFont="1" applyFill="1" applyBorder="1" applyAlignment="1">
      <alignment/>
    </xf>
    <xf numFmtId="0" fontId="7" fillId="0" borderId="0" xfId="23" applyNumberFormat="1" applyFont="1" applyFill="1" applyAlignment="1">
      <alignment horizontal="center" vertical="center"/>
      <protection/>
    </xf>
    <xf numFmtId="0" fontId="10" fillId="0" borderId="0" xfId="23" applyNumberFormat="1" applyFont="1" applyFill="1" applyAlignment="1">
      <alignment horizontal="center" vertical="center"/>
      <protection/>
    </xf>
    <xf numFmtId="0" fontId="9" fillId="0" borderId="0" xfId="23" applyNumberFormat="1" applyFont="1" applyFill="1" applyAlignment="1">
      <alignment horizontal="center" vertical="center"/>
      <protection/>
    </xf>
    <xf numFmtId="39" fontId="8" fillId="0" borderId="0" xfId="0" applyFont="1" applyAlignment="1">
      <alignment horizontal="centerContinuous" vertical="center"/>
    </xf>
    <xf numFmtId="0" fontId="8" fillId="0" borderId="0" xfId="0" applyNumberFormat="1" applyFont="1" applyAlignment="1" applyProtection="1">
      <alignment horizontal="centerContinuous"/>
      <protection/>
    </xf>
    <xf numFmtId="39" fontId="11" fillId="0" borderId="0" xfId="0" applyFont="1" applyAlignment="1">
      <alignment horizontal="left" vertical="center"/>
    </xf>
    <xf numFmtId="39" fontId="38" fillId="0" borderId="0" xfId="0" applyFont="1" applyAlignment="1">
      <alignment vertical="center"/>
    </xf>
    <xf numFmtId="167" fontId="8" fillId="0" borderId="0" xfId="17" applyNumberFormat="1" applyFont="1" applyBorder="1" applyAlignment="1" applyProtection="1">
      <alignment/>
      <protection/>
    </xf>
    <xf numFmtId="42" fontId="8" fillId="0" borderId="0" xfId="23" applyNumberFormat="1" applyFont="1" applyFill="1" applyAlignment="1">
      <alignment horizontal="right"/>
      <protection/>
    </xf>
    <xf numFmtId="41" fontId="8" fillId="0" borderId="0" xfId="0" applyNumberFormat="1" applyFont="1" applyFill="1" applyAlignment="1">
      <alignment horizontal="right"/>
    </xf>
    <xf numFmtId="42" fontId="9" fillId="0" borderId="0" xfId="0" applyNumberFormat="1" applyFont="1" applyBorder="1" applyAlignment="1">
      <alignment horizontal="right"/>
    </xf>
    <xf numFmtId="166" fontId="9" fillId="0" borderId="0" xfId="26" applyNumberFormat="1" applyFont="1" applyBorder="1" applyAlignment="1">
      <alignment horizontal="center"/>
    </xf>
    <xf numFmtId="168" fontId="8" fillId="0" borderId="0" xfId="0" applyNumberFormat="1" applyFont="1" applyBorder="1" applyAlignment="1" applyProtection="1">
      <alignment/>
      <protection/>
    </xf>
    <xf numFmtId="39" fontId="14" fillId="0" borderId="0" xfId="0" applyFont="1" applyBorder="1" applyAlignment="1">
      <alignment horizontal="left"/>
    </xf>
    <xf numFmtId="39" fontId="20" fillId="0" borderId="0" xfId="0" applyFont="1" applyAlignment="1" quotePrefix="1">
      <alignment horizontal="left" wrapText="1"/>
    </xf>
    <xf numFmtId="39" fontId="9" fillId="0" borderId="0" xfId="0" applyFont="1" applyFill="1" applyBorder="1" applyAlignment="1">
      <alignment horizontal="centerContinuous"/>
    </xf>
    <xf numFmtId="0" fontId="14" fillId="0" borderId="0" xfId="0" applyNumberFormat="1" applyFont="1" applyFill="1" applyBorder="1" applyAlignment="1" applyProtection="1">
      <alignment/>
      <protection/>
    </xf>
    <xf numFmtId="39" fontId="11" fillId="0" borderId="0" xfId="0" applyFont="1" applyFill="1" applyAlignment="1">
      <alignment/>
    </xf>
    <xf numFmtId="39" fontId="11" fillId="0" borderId="0" xfId="0" applyFont="1" applyFill="1" applyAlignment="1">
      <alignment/>
    </xf>
    <xf numFmtId="0" fontId="14" fillId="0" borderId="0" xfId="0" applyNumberFormat="1" applyFont="1" applyFill="1" applyAlignment="1" applyProtection="1">
      <alignment/>
      <protection/>
    </xf>
    <xf numFmtId="39" fontId="9" fillId="0" borderId="0" xfId="0" applyFont="1" applyFill="1" applyAlignment="1">
      <alignment/>
    </xf>
    <xf numFmtId="39" fontId="9" fillId="0" borderId="1" xfId="0" applyFont="1" applyFill="1" applyBorder="1" applyAlignment="1">
      <alignment horizontal="center" vertical="center" wrapText="1"/>
    </xf>
    <xf numFmtId="39" fontId="9" fillId="0" borderId="1" xfId="0" applyFont="1" applyFill="1" applyBorder="1" applyAlignment="1">
      <alignment horizontal="center" vertical="center"/>
    </xf>
    <xf numFmtId="39" fontId="9" fillId="0" borderId="1" xfId="0" applyFont="1" applyFill="1" applyBorder="1" applyAlignment="1">
      <alignment horizontal="center" wrapText="1"/>
    </xf>
    <xf numFmtId="39" fontId="0" fillId="0" borderId="0" xfId="0" applyBorder="1" applyAlignment="1">
      <alignment/>
    </xf>
    <xf numFmtId="42" fontId="8" fillId="0" borderId="0" xfId="0" applyNumberFormat="1" applyFont="1" applyBorder="1" applyAlignment="1">
      <alignment/>
    </xf>
    <xf numFmtId="42" fontId="9" fillId="0" borderId="0" xfId="17" applyNumberFormat="1" applyFont="1" applyFill="1" applyBorder="1" applyAlignment="1">
      <alignment/>
    </xf>
    <xf numFmtId="42" fontId="0" fillId="0" borderId="0" xfId="0" applyNumberFormat="1" applyBorder="1" applyAlignment="1">
      <alignment/>
    </xf>
    <xf numFmtId="167" fontId="8" fillId="0" borderId="0" xfId="17" applyNumberFormat="1" applyFont="1" applyFill="1" applyBorder="1" applyAlignment="1" quotePrefix="1">
      <alignment horizontal="center"/>
    </xf>
    <xf numFmtId="42" fontId="8" fillId="0" borderId="0" xfId="17" applyNumberFormat="1" applyFont="1" applyFill="1" applyBorder="1" applyAlignment="1">
      <alignment/>
    </xf>
    <xf numFmtId="42" fontId="14" fillId="0" borderId="0" xfId="17" applyNumberFormat="1" applyFont="1" applyFill="1" applyBorder="1" applyAlignment="1">
      <alignment/>
    </xf>
    <xf numFmtId="42" fontId="14" fillId="0" borderId="0" xfId="17" applyNumberFormat="1" applyFont="1" applyFill="1" applyBorder="1" applyAlignment="1">
      <alignment/>
    </xf>
    <xf numFmtId="166" fontId="8" fillId="0" borderId="0" xfId="0" applyNumberFormat="1" applyFont="1" applyBorder="1" applyAlignment="1" applyProtection="1">
      <alignment/>
      <protection/>
    </xf>
    <xf numFmtId="166" fontId="8" fillId="0" borderId="0" xfId="17" applyNumberFormat="1" applyFont="1" applyFill="1" applyBorder="1" applyAlignment="1" quotePrefix="1">
      <alignment horizontal="center"/>
    </xf>
    <xf numFmtId="166" fontId="8" fillId="0" borderId="0" xfId="0" applyNumberFormat="1" applyFont="1" applyAlignment="1" applyProtection="1">
      <alignment/>
      <protection/>
    </xf>
    <xf numFmtId="39" fontId="8" fillId="0" borderId="0" xfId="0" applyFont="1" applyFill="1" applyAlignment="1">
      <alignment horizontal="left" indent="1"/>
    </xf>
    <xf numFmtId="39" fontId="0" fillId="0" borderId="0" xfId="0" applyFill="1" applyBorder="1" applyAlignment="1">
      <alignment/>
    </xf>
    <xf numFmtId="42" fontId="8" fillId="0" borderId="3" xfId="0" applyNumberFormat="1" applyFont="1" applyBorder="1" applyAlignment="1">
      <alignment/>
    </xf>
    <xf numFmtId="42" fontId="9" fillId="0" borderId="3" xfId="17" applyNumberFormat="1" applyFont="1" applyFill="1" applyBorder="1" applyAlignment="1">
      <alignment/>
    </xf>
    <xf numFmtId="42" fontId="0" fillId="0" borderId="3" xfId="0" applyNumberFormat="1" applyBorder="1" applyAlignment="1">
      <alignment/>
    </xf>
    <xf numFmtId="39" fontId="0" fillId="0" borderId="0" xfId="0" applyAlignment="1">
      <alignment horizontal="left" wrapText="1"/>
    </xf>
    <xf numFmtId="39" fontId="19" fillId="0" borderId="0" xfId="0" applyFont="1" applyFill="1" applyAlignment="1">
      <alignment horizontal="left" wrapText="1"/>
    </xf>
    <xf numFmtId="39" fontId="20" fillId="0" borderId="0" xfId="0" applyFont="1" applyAlignment="1">
      <alignment wrapText="1"/>
    </xf>
    <xf numFmtId="39" fontId="19" fillId="0" borderId="0" xfId="0" applyFont="1" applyFill="1" applyAlignment="1">
      <alignment horizontal="left" vertical="top" wrapText="1"/>
    </xf>
    <xf numFmtId="39" fontId="20" fillId="0" borderId="0" xfId="0" applyFont="1" applyAlignment="1">
      <alignment vertical="top" wrapText="1"/>
    </xf>
    <xf numFmtId="39" fontId="8" fillId="0" borderId="0" xfId="0" applyFont="1" applyAlignment="1">
      <alignment horizontal="left" indent="3"/>
    </xf>
    <xf numFmtId="9" fontId="8" fillId="0" borderId="0" xfId="0" applyNumberFormat="1" applyFont="1" applyAlignment="1">
      <alignment/>
    </xf>
    <xf numFmtId="16" fontId="9" fillId="0" borderId="0" xfId="0" applyNumberFormat="1" applyFont="1" applyBorder="1" applyAlignment="1" applyProtection="1" quotePrefix="1">
      <alignment horizontal="center"/>
      <protection/>
    </xf>
    <xf numFmtId="0" fontId="22" fillId="0" borderId="0" xfId="0" applyNumberFormat="1" applyFont="1" applyBorder="1" applyAlignment="1" applyProtection="1">
      <alignment horizontal="center"/>
      <protection/>
    </xf>
    <xf numFmtId="168" fontId="8" fillId="0" borderId="0" xfId="15" applyNumberFormat="1" applyFont="1" applyFill="1" applyBorder="1" applyAlignment="1" applyProtection="1">
      <alignment/>
      <protection/>
    </xf>
    <xf numFmtId="9" fontId="8" fillId="0" borderId="0" xfId="26" applyFont="1" applyBorder="1" applyAlignment="1">
      <alignment/>
    </xf>
    <xf numFmtId="39" fontId="9" fillId="0" borderId="0" xfId="0" applyFont="1" applyBorder="1" applyAlignment="1">
      <alignment/>
    </xf>
    <xf numFmtId="39" fontId="9" fillId="0" borderId="0" xfId="0" applyFont="1" applyFill="1" applyBorder="1" applyAlignment="1">
      <alignment/>
    </xf>
    <xf numFmtId="9" fontId="8" fillId="0" borderId="0" xfId="26" applyFont="1" applyFill="1" applyBorder="1" applyAlignment="1">
      <alignment/>
    </xf>
    <xf numFmtId="166" fontId="8" fillId="0" borderId="0" xfId="26" applyNumberFormat="1" applyFont="1" applyFill="1" applyBorder="1" applyAlignment="1">
      <alignment/>
    </xf>
    <xf numFmtId="37" fontId="13" fillId="0" borderId="0" xfId="0" applyNumberFormat="1" applyFont="1" applyFill="1" applyBorder="1" applyAlignment="1">
      <alignment/>
    </xf>
    <xf numFmtId="39" fontId="8" fillId="0" borderId="2" xfId="0" applyFont="1" applyBorder="1" applyAlignment="1" quotePrefix="1">
      <alignment/>
    </xf>
    <xf numFmtId="39" fontId="9" fillId="0" borderId="0" xfId="0" applyFont="1" applyBorder="1" applyAlignment="1" quotePrefix="1">
      <alignment horizontal="center"/>
    </xf>
    <xf numFmtId="168" fontId="8" fillId="0" borderId="1" xfId="15" applyNumberFormat="1" applyFont="1" applyFill="1" applyBorder="1" applyAlignment="1">
      <alignment/>
    </xf>
    <xf numFmtId="168" fontId="8" fillId="0" borderId="0" xfId="15" applyNumberFormat="1" applyFont="1" applyFill="1" applyBorder="1" applyAlignment="1">
      <alignment/>
    </xf>
    <xf numFmtId="10" fontId="8" fillId="0" borderId="0" xfId="26" applyNumberFormat="1" applyFont="1" applyAlignment="1">
      <alignment/>
    </xf>
    <xf numFmtId="172" fontId="8" fillId="0" borderId="0" xfId="0" applyNumberFormat="1" applyFont="1" applyAlignment="1">
      <alignment/>
    </xf>
    <xf numFmtId="42" fontId="8" fillId="0" borderId="0" xfId="17" applyNumberFormat="1" applyFont="1" applyAlignment="1">
      <alignment horizontal="center"/>
    </xf>
    <xf numFmtId="0" fontId="7" fillId="0" borderId="0" xfId="0" applyNumberFormat="1" applyFont="1" applyAlignment="1" applyProtection="1">
      <alignment/>
      <protection/>
    </xf>
    <xf numFmtId="39" fontId="7" fillId="0" borderId="0" xfId="0" applyFont="1" applyAlignment="1">
      <alignment/>
    </xf>
    <xf numFmtId="39" fontId="10" fillId="0" borderId="0" xfId="0" applyFont="1" applyAlignment="1">
      <alignment/>
    </xf>
    <xf numFmtId="0" fontId="7" fillId="0" borderId="0" xfId="23" applyNumberFormat="1" applyFont="1" applyFill="1" applyAlignment="1">
      <alignment vertical="center"/>
      <protection/>
    </xf>
    <xf numFmtId="39" fontId="7" fillId="0" borderId="0" xfId="0" applyFont="1" applyAlignment="1">
      <alignment wrapText="1"/>
    </xf>
    <xf numFmtId="0" fontId="9" fillId="0" borderId="0" xfId="23" applyNumberFormat="1" applyFont="1" applyFill="1" applyAlignment="1">
      <alignment vertical="center"/>
      <protection/>
    </xf>
    <xf numFmtId="0" fontId="10" fillId="0" borderId="0" xfId="23" applyNumberFormat="1" applyFont="1" applyFill="1" applyAlignment="1">
      <alignment vertical="center"/>
      <protection/>
    </xf>
    <xf numFmtId="39" fontId="10" fillId="0" borderId="0" xfId="0" applyFont="1" applyAlignment="1">
      <alignment wrapText="1"/>
    </xf>
    <xf numFmtId="39" fontId="20" fillId="0" borderId="0" xfId="0" applyNumberFormat="1" applyFont="1" applyFill="1" applyAlignment="1" applyProtection="1">
      <alignment/>
      <protection/>
    </xf>
    <xf numFmtId="41" fontId="8" fillId="0" borderId="0" xfId="0" applyNumberFormat="1" applyFont="1" applyFill="1" applyBorder="1" applyAlignment="1">
      <alignment/>
    </xf>
    <xf numFmtId="0" fontId="9" fillId="0" borderId="0" xfId="0" applyNumberFormat="1" applyFont="1" applyFill="1" applyAlignment="1" applyProtection="1">
      <alignment/>
      <protection/>
    </xf>
    <xf numFmtId="168" fontId="8" fillId="0" borderId="0" xfId="15" applyNumberFormat="1" applyFont="1" applyFill="1" applyBorder="1" applyAlignment="1">
      <alignment/>
    </xf>
    <xf numFmtId="0" fontId="8" fillId="0" borderId="0" xfId="23" applyFont="1" applyFill="1" applyAlignment="1">
      <alignment/>
      <protection/>
    </xf>
    <xf numFmtId="167" fontId="8" fillId="0" borderId="0" xfId="17" applyNumberFormat="1" applyFont="1" applyAlignment="1" applyProtection="1">
      <alignment/>
      <protection/>
    </xf>
    <xf numFmtId="39" fontId="8" fillId="0" borderId="0" xfId="0" applyFont="1" applyFill="1" applyAlignment="1">
      <alignment/>
    </xf>
    <xf numFmtId="167" fontId="8" fillId="0" borderId="0" xfId="17" applyNumberFormat="1" applyFont="1" applyFill="1" applyAlignment="1">
      <alignment/>
    </xf>
    <xf numFmtId="37" fontId="8" fillId="0" borderId="0" xfId="0" applyNumberFormat="1" applyFont="1" applyFill="1" applyBorder="1" applyAlignment="1">
      <alignment/>
    </xf>
    <xf numFmtId="39" fontId="8" fillId="0" borderId="0" xfId="0" applyFont="1" applyFill="1" applyAlignment="1">
      <alignment/>
    </xf>
    <xf numFmtId="39" fontId="9" fillId="0" borderId="0" xfId="0" applyFont="1" applyFill="1" applyAlignment="1">
      <alignment horizontal="left"/>
    </xf>
    <xf numFmtId="37" fontId="8" fillId="0" borderId="0" xfId="0" applyNumberFormat="1" applyFont="1" applyAlignment="1" applyProtection="1">
      <alignment/>
      <protection/>
    </xf>
    <xf numFmtId="44" fontId="33" fillId="0" borderId="0" xfId="23" applyNumberFormat="1" applyFont="1" applyFill="1" applyBorder="1" applyAlignment="1">
      <alignment/>
      <protection/>
    </xf>
    <xf numFmtId="42" fontId="8" fillId="0" borderId="0" xfId="15" applyNumberFormat="1" applyFont="1" applyFill="1" applyBorder="1" applyAlignment="1">
      <alignment/>
    </xf>
    <xf numFmtId="37" fontId="8" fillId="0" borderId="0" xfId="0" applyNumberFormat="1" applyFont="1" applyFill="1" applyBorder="1" applyAlignment="1">
      <alignment/>
    </xf>
    <xf numFmtId="37" fontId="8" fillId="0" borderId="0" xfId="0" applyNumberFormat="1" applyFont="1" applyFill="1" applyAlignment="1">
      <alignment/>
    </xf>
    <xf numFmtId="164" fontId="8" fillId="0" borderId="0" xfId="0" applyNumberFormat="1" applyFont="1" applyFill="1" applyBorder="1" applyAlignment="1">
      <alignment/>
    </xf>
    <xf numFmtId="41" fontId="9" fillId="0" borderId="0" xfId="0" applyNumberFormat="1" applyFont="1" applyFill="1" applyBorder="1" applyAlignment="1">
      <alignment/>
    </xf>
    <xf numFmtId="166" fontId="8" fillId="0" borderId="0" xfId="0" applyNumberFormat="1" applyFont="1" applyFill="1" applyAlignment="1">
      <alignment/>
    </xf>
    <xf numFmtId="164" fontId="8" fillId="0" borderId="0" xfId="0" applyNumberFormat="1" applyFont="1" applyFill="1" applyBorder="1" applyAlignment="1">
      <alignment/>
    </xf>
    <xf numFmtId="166" fontId="8" fillId="0" borderId="0" xfId="0" applyNumberFormat="1" applyFont="1" applyFill="1" applyBorder="1" applyAlignment="1">
      <alignment/>
    </xf>
    <xf numFmtId="166" fontId="8" fillId="0" borderId="1" xfId="0" applyNumberFormat="1" applyFont="1" applyFill="1" applyBorder="1" applyAlignment="1">
      <alignment/>
    </xf>
    <xf numFmtId="176" fontId="14" fillId="0" borderId="0" xfId="0" applyNumberFormat="1" applyFont="1" applyAlignment="1" quotePrefix="1">
      <alignment horizontal="left"/>
    </xf>
    <xf numFmtId="9" fontId="8" fillId="0" borderId="0" xfId="26" applyNumberFormat="1" applyFont="1" applyFill="1" applyBorder="1" applyAlignment="1">
      <alignment/>
    </xf>
    <xf numFmtId="39" fontId="14" fillId="0" borderId="0" xfId="0" applyFont="1" applyBorder="1" applyAlignment="1">
      <alignment/>
    </xf>
    <xf numFmtId="166" fontId="8" fillId="0" borderId="2" xfId="26" applyNumberFormat="1" applyFont="1" applyFill="1" applyBorder="1" applyAlignment="1">
      <alignment/>
    </xf>
    <xf numFmtId="166" fontId="8" fillId="0" borderId="0" xfId="17" applyNumberFormat="1" applyFont="1" applyFill="1" applyAlignment="1">
      <alignment/>
    </xf>
    <xf numFmtId="166" fontId="8" fillId="0" borderId="0" xfId="26" applyNumberFormat="1" applyFont="1" applyFill="1" applyAlignment="1">
      <alignment horizontal="right"/>
    </xf>
    <xf numFmtId="37" fontId="8" fillId="0" borderId="0" xfId="0" applyNumberFormat="1" applyFont="1" applyFill="1" applyAlignment="1">
      <alignment/>
    </xf>
    <xf numFmtId="39" fontId="9" fillId="0" borderId="0" xfId="0" applyFont="1" applyFill="1" applyAlignment="1" quotePrefix="1">
      <alignment horizontal="center"/>
    </xf>
    <xf numFmtId="168" fontId="8" fillId="0" borderId="1" xfId="15" applyNumberFormat="1" applyFont="1" applyFill="1" applyBorder="1" applyAlignment="1">
      <alignment horizontal="left" vertical="top" wrapText="1" indent="1"/>
    </xf>
    <xf numFmtId="167" fontId="8" fillId="0" borderId="3" xfId="17" applyNumberFormat="1" applyFont="1" applyFill="1" applyBorder="1" applyAlignment="1">
      <alignment/>
    </xf>
    <xf numFmtId="39" fontId="0" fillId="0" borderId="0" xfId="0" applyFont="1" applyFill="1" applyAlignment="1">
      <alignment/>
    </xf>
    <xf numFmtId="44" fontId="8" fillId="0" borderId="0" xfId="17" applyNumberFormat="1" applyFont="1" applyFill="1" applyAlignment="1">
      <alignment horizontal="left" vertical="top" wrapText="1" indent="1"/>
    </xf>
    <xf numFmtId="37" fontId="15" fillId="0" borderId="0" xfId="0" applyNumberFormat="1" applyFont="1" applyFill="1" applyAlignment="1">
      <alignment/>
    </xf>
    <xf numFmtId="39" fontId="7" fillId="0" borderId="0" xfId="0" applyFont="1" applyFill="1" applyAlignment="1">
      <alignment/>
    </xf>
    <xf numFmtId="0" fontId="8" fillId="0" borderId="0" xfId="23" applyNumberFormat="1" applyFont="1" applyFill="1" applyAlignment="1">
      <alignment/>
      <protection/>
    </xf>
    <xf numFmtId="41" fontId="8" fillId="0" borderId="1" xfId="23" applyNumberFormat="1" applyFont="1" applyFill="1" applyBorder="1" applyAlignment="1">
      <alignment/>
      <protection/>
    </xf>
    <xf numFmtId="41" fontId="8" fillId="0" borderId="3" xfId="23" applyNumberFormat="1" applyFont="1" applyFill="1" applyBorder="1" applyAlignment="1">
      <alignment/>
      <protection/>
    </xf>
    <xf numFmtId="168" fontId="8" fillId="0" borderId="0" xfId="17" applyNumberFormat="1" applyFont="1" applyFill="1" applyBorder="1" applyAlignment="1">
      <alignment/>
    </xf>
    <xf numFmtId="41" fontId="8" fillId="0" borderId="0" xfId="17" applyNumberFormat="1" applyFont="1" applyFill="1" applyBorder="1" applyAlignment="1">
      <alignment/>
    </xf>
    <xf numFmtId="173" fontId="8" fillId="0" borderId="0" xfId="0" applyNumberFormat="1" applyFont="1" applyFill="1" applyBorder="1" applyAlignment="1">
      <alignment/>
    </xf>
    <xf numFmtId="168" fontId="8" fillId="0" borderId="1" xfId="15" applyNumberFormat="1" applyFont="1" applyFill="1" applyBorder="1" applyAlignment="1">
      <alignment/>
    </xf>
    <xf numFmtId="168" fontId="9" fillId="0" borderId="0" xfId="15" applyNumberFormat="1" applyFont="1" applyFill="1" applyAlignment="1">
      <alignment/>
    </xf>
    <xf numFmtId="166" fontId="8" fillId="0" borderId="0" xfId="0" applyNumberFormat="1" applyFont="1" applyFill="1" applyBorder="1" applyAlignment="1">
      <alignment horizontal="right"/>
    </xf>
    <xf numFmtId="175" fontId="9" fillId="0" borderId="1" xfId="0" applyNumberFormat="1" applyFont="1" applyFill="1" applyBorder="1" applyAlignment="1">
      <alignment horizontal="center"/>
    </xf>
    <xf numFmtId="39" fontId="9" fillId="0" borderId="4" xfId="0" applyFont="1" applyFill="1" applyBorder="1" applyAlignment="1">
      <alignment horizontal="center"/>
    </xf>
    <xf numFmtId="166" fontId="8" fillId="0" borderId="0" xfId="26" applyNumberFormat="1" applyFont="1" applyFill="1" applyAlignment="1">
      <alignment horizontal="center"/>
    </xf>
    <xf numFmtId="42" fontId="9" fillId="0" borderId="3" xfId="0" applyNumberFormat="1" applyFont="1" applyFill="1" applyBorder="1" applyAlignment="1">
      <alignment horizontal="right"/>
    </xf>
    <xf numFmtId="166" fontId="9" fillId="0" borderId="3" xfId="26" applyNumberFormat="1" applyFont="1" applyFill="1" applyBorder="1" applyAlignment="1">
      <alignment horizontal="center"/>
    </xf>
    <xf numFmtId="39" fontId="8" fillId="0" borderId="1" xfId="0" applyFont="1" applyFill="1" applyBorder="1" applyAlignment="1">
      <alignment/>
    </xf>
    <xf numFmtId="9" fontId="8" fillId="0" borderId="0" xfId="26" applyFont="1" applyFill="1" applyBorder="1" applyAlignment="1">
      <alignment/>
    </xf>
    <xf numFmtId="41" fontId="8" fillId="0" borderId="0" xfId="15" applyNumberFormat="1" applyFont="1" applyFill="1" applyAlignment="1">
      <alignment/>
    </xf>
    <xf numFmtId="41" fontId="8" fillId="0" borderId="0" xfId="15" applyNumberFormat="1" applyFont="1" applyFill="1" applyAlignment="1">
      <alignment/>
    </xf>
    <xf numFmtId="42" fontId="8" fillId="0" borderId="3" xfId="15" applyNumberFormat="1" applyFont="1" applyFill="1" applyBorder="1" applyAlignment="1">
      <alignment/>
    </xf>
    <xf numFmtId="39" fontId="0" fillId="0" borderId="0" xfId="0" applyFill="1" applyBorder="1" applyAlignment="1">
      <alignment/>
    </xf>
    <xf numFmtId="167" fontId="8" fillId="0" borderId="2" xfId="17" applyNumberFormat="1" applyFont="1" applyFill="1" applyBorder="1" applyAlignment="1">
      <alignment/>
    </xf>
    <xf numFmtId="39" fontId="9" fillId="0" borderId="0" xfId="0" applyFont="1" applyFill="1" applyBorder="1" applyAlignment="1">
      <alignment horizontal="center"/>
    </xf>
    <xf numFmtId="39" fontId="0" fillId="0" borderId="0" xfId="0" applyFont="1" applyFill="1" applyBorder="1" applyAlignment="1">
      <alignment/>
    </xf>
    <xf numFmtId="168" fontId="8" fillId="0" borderId="2" xfId="15" applyNumberFormat="1" applyFont="1" applyFill="1" applyBorder="1" applyAlignment="1" applyProtection="1">
      <alignment/>
      <protection/>
    </xf>
    <xf numFmtId="167" fontId="8" fillId="0" borderId="3" xfId="0" applyNumberFormat="1" applyFont="1" applyFill="1" applyBorder="1" applyAlignment="1" applyProtection="1">
      <alignment/>
      <protection/>
    </xf>
    <xf numFmtId="39" fontId="14" fillId="0" borderId="0" xfId="0" applyFont="1" applyFill="1" applyAlignment="1">
      <alignment/>
    </xf>
    <xf numFmtId="39" fontId="14" fillId="0" borderId="0" xfId="0" applyFont="1" applyFill="1" applyBorder="1" applyAlignment="1">
      <alignment/>
    </xf>
    <xf numFmtId="39" fontId="8" fillId="0" borderId="0" xfId="0" applyFont="1" applyFill="1" applyBorder="1" applyAlignment="1">
      <alignment wrapText="1"/>
    </xf>
    <xf numFmtId="168" fontId="8" fillId="0" borderId="4" xfId="15" applyNumberFormat="1" applyFont="1" applyFill="1" applyBorder="1" applyAlignment="1" applyProtection="1">
      <alignment/>
      <protection/>
    </xf>
    <xf numFmtId="4" fontId="14" fillId="0" borderId="0" xfId="0" applyNumberFormat="1" applyFont="1" applyFill="1" applyBorder="1" applyAlignment="1" applyProtection="1">
      <alignment/>
      <protection/>
    </xf>
    <xf numFmtId="168" fontId="8" fillId="0" borderId="4" xfId="15" applyNumberFormat="1" applyFont="1" applyFill="1" applyBorder="1" applyAlignment="1">
      <alignment/>
    </xf>
    <xf numFmtId="168" fontId="8" fillId="0" borderId="4" xfId="15" applyNumberFormat="1" applyFont="1" applyFill="1" applyBorder="1" applyAlignment="1">
      <alignment/>
    </xf>
    <xf numFmtId="0" fontId="9" fillId="0" borderId="0" xfId="0" applyNumberFormat="1" applyFont="1" applyFill="1" applyAlignment="1">
      <alignment horizontal="center"/>
    </xf>
    <xf numFmtId="37" fontId="13" fillId="0" borderId="0" xfId="0" applyNumberFormat="1" applyFont="1" applyFill="1" applyAlignment="1">
      <alignment/>
    </xf>
    <xf numFmtId="9" fontId="33" fillId="0" borderId="0" xfId="26" applyFont="1" applyFill="1" applyAlignment="1">
      <alignment/>
    </xf>
    <xf numFmtId="41" fontId="8" fillId="0" borderId="0" xfId="0" applyNumberFormat="1" applyFont="1" applyFill="1" applyBorder="1" applyAlignment="1">
      <alignment/>
    </xf>
    <xf numFmtId="166" fontId="8" fillId="0" borderId="0" xfId="0" applyNumberFormat="1" applyFont="1" applyFill="1" applyBorder="1" applyAlignment="1">
      <alignment/>
    </xf>
    <xf numFmtId="166" fontId="8" fillId="0" borderId="1" xfId="0" applyNumberFormat="1" applyFont="1" applyFill="1" applyBorder="1" applyAlignment="1">
      <alignment/>
    </xf>
    <xf numFmtId="164" fontId="8" fillId="0" borderId="0" xfId="0" applyNumberFormat="1" applyFont="1" applyFill="1" applyAlignment="1">
      <alignment/>
    </xf>
    <xf numFmtId="49" fontId="13" fillId="0" borderId="0" xfId="0" applyNumberFormat="1" applyFont="1" applyFill="1" applyAlignment="1">
      <alignment horizontal="left"/>
    </xf>
    <xf numFmtId="169" fontId="9" fillId="0" borderId="0" xfId="0" applyNumberFormat="1" applyFont="1" applyAlignment="1" applyProtection="1">
      <alignment horizontal="center"/>
      <protection/>
    </xf>
    <xf numFmtId="41" fontId="8" fillId="0" borderId="2" xfId="17" applyNumberFormat="1" applyFont="1" applyFill="1" applyBorder="1" applyAlignment="1">
      <alignment/>
    </xf>
    <xf numFmtId="41" fontId="8" fillId="0" borderId="0" xfId="17" applyNumberFormat="1" applyFont="1" applyFill="1" applyBorder="1" applyAlignment="1">
      <alignment/>
    </xf>
    <xf numFmtId="41" fontId="8" fillId="0" borderId="0" xfId="26" applyNumberFormat="1" applyFont="1" applyFill="1" applyAlignment="1">
      <alignment/>
    </xf>
    <xf numFmtId="41" fontId="8" fillId="0" borderId="0" xfId="0" applyNumberFormat="1" applyFont="1" applyFill="1" applyAlignment="1">
      <alignment/>
    </xf>
    <xf numFmtId="0" fontId="9" fillId="0" borderId="0" xfId="0" applyNumberFormat="1" applyFont="1" applyFill="1" applyBorder="1" applyAlignment="1">
      <alignment horizontal="center"/>
    </xf>
    <xf numFmtId="37" fontId="8" fillId="0" borderId="0" xfId="0" applyNumberFormat="1" applyFont="1" applyAlignment="1" quotePrefix="1">
      <alignment horizontal="right"/>
    </xf>
    <xf numFmtId="44" fontId="8" fillId="0" borderId="0" xfId="17" applyFont="1" applyAlignment="1">
      <alignment/>
    </xf>
    <xf numFmtId="39" fontId="29" fillId="0" borderId="0" xfId="0" applyFont="1" applyBorder="1" applyAlignment="1">
      <alignment/>
    </xf>
    <xf numFmtId="41" fontId="9" fillId="0" borderId="2" xfId="15" applyNumberFormat="1" applyFont="1" applyFill="1" applyBorder="1" applyAlignment="1">
      <alignment/>
    </xf>
    <xf numFmtId="167" fontId="8" fillId="0" borderId="3" xfId="23" applyNumberFormat="1" applyFont="1" applyFill="1" applyBorder="1" applyAlignment="1">
      <alignment/>
      <protection/>
    </xf>
    <xf numFmtId="167" fontId="0" fillId="0" borderId="0" xfId="0" applyNumberFormat="1" applyFont="1" applyFill="1" applyAlignment="1">
      <alignment/>
    </xf>
    <xf numFmtId="167" fontId="8" fillId="0" borderId="0" xfId="23" applyNumberFormat="1" applyFont="1" applyFill="1" applyBorder="1" applyAlignment="1">
      <alignment/>
      <protection/>
    </xf>
    <xf numFmtId="41" fontId="8" fillId="0" borderId="2" xfId="15" applyNumberFormat="1" applyFont="1" applyFill="1" applyBorder="1" applyAlignment="1">
      <alignment/>
    </xf>
    <xf numFmtId="41" fontId="8" fillId="0" borderId="0" xfId="15" applyNumberFormat="1" applyFont="1" applyFill="1" applyBorder="1" applyAlignment="1">
      <alignment/>
    </xf>
    <xf numFmtId="41" fontId="33" fillId="0" borderId="0" xfId="26" applyNumberFormat="1" applyFont="1" applyFill="1" applyAlignment="1">
      <alignment/>
    </xf>
    <xf numFmtId="42" fontId="8" fillId="0" borderId="3" xfId="17" applyNumberFormat="1" applyFont="1" applyFill="1" applyBorder="1" applyAlignment="1">
      <alignment/>
    </xf>
    <xf numFmtId="41" fontId="8" fillId="0" borderId="0" xfId="15" applyNumberFormat="1" applyFont="1" applyFill="1" applyBorder="1" applyAlignment="1">
      <alignment/>
    </xf>
    <xf numFmtId="42" fontId="8" fillId="0" borderId="3" xfId="17" applyNumberFormat="1" applyFont="1" applyFill="1" applyBorder="1" applyAlignment="1">
      <alignment/>
    </xf>
    <xf numFmtId="39" fontId="11" fillId="0" borderId="0" xfId="0" applyFont="1" applyFill="1" applyAlignment="1">
      <alignment/>
    </xf>
    <xf numFmtId="9" fontId="8" fillId="0" borderId="0" xfId="17" applyNumberFormat="1" applyFont="1" applyFill="1" applyAlignment="1">
      <alignment/>
    </xf>
    <xf numFmtId="9" fontId="8" fillId="0" borderId="0" xfId="0" applyNumberFormat="1" applyFont="1" applyFill="1" applyAlignment="1">
      <alignment/>
    </xf>
    <xf numFmtId="39" fontId="7" fillId="0" borderId="0" xfId="0" applyFont="1" applyFill="1" applyAlignment="1">
      <alignment horizontal="centerContinuous"/>
    </xf>
    <xf numFmtId="39" fontId="9" fillId="0" borderId="0" xfId="0" applyFont="1" applyFill="1" applyAlignment="1">
      <alignment horizontal="centerContinuous"/>
    </xf>
    <xf numFmtId="37" fontId="9" fillId="0" borderId="0" xfId="0" applyNumberFormat="1" applyFont="1" applyFill="1" applyAlignment="1">
      <alignment horizontal="center"/>
    </xf>
    <xf numFmtId="37" fontId="9" fillId="0" borderId="0" xfId="0" applyNumberFormat="1" applyFont="1" applyFill="1" applyBorder="1" applyAlignment="1">
      <alignment horizontal="center"/>
    </xf>
    <xf numFmtId="37" fontId="8" fillId="0" borderId="2" xfId="0" applyNumberFormat="1" applyFont="1" applyFill="1" applyBorder="1" applyAlignment="1">
      <alignment/>
    </xf>
    <xf numFmtId="37" fontId="8" fillId="0" borderId="2" xfId="0" applyNumberFormat="1" applyFont="1" applyFill="1" applyBorder="1" applyAlignment="1">
      <alignment/>
    </xf>
    <xf numFmtId="39" fontId="8" fillId="0" borderId="3" xfId="0" applyFont="1" applyBorder="1" applyAlignment="1">
      <alignment horizontal="left" indent="1"/>
    </xf>
    <xf numFmtId="39" fontId="8" fillId="0" borderId="1" xfId="0" applyFont="1" applyBorder="1" applyAlignment="1">
      <alignment/>
    </xf>
    <xf numFmtId="0" fontId="8" fillId="0" borderId="3" xfId="0" applyNumberFormat="1" applyFont="1" applyBorder="1" applyAlignment="1">
      <alignment wrapText="1"/>
    </xf>
    <xf numFmtId="39" fontId="8" fillId="0" borderId="3" xfId="0" applyFont="1" applyBorder="1" applyAlignment="1">
      <alignment/>
    </xf>
    <xf numFmtId="167" fontId="9" fillId="0" borderId="0" xfId="0" applyNumberFormat="1" applyFont="1" applyAlignment="1" applyProtection="1">
      <alignment/>
      <protection/>
    </xf>
    <xf numFmtId="165" fontId="9" fillId="0" borderId="0" xfId="17" applyNumberFormat="1" applyFont="1" applyFill="1" applyBorder="1" applyAlignment="1">
      <alignment/>
    </xf>
    <xf numFmtId="0" fontId="20" fillId="0" borderId="0" xfId="20" applyNumberFormat="1" applyFont="1" applyAlignment="1">
      <alignment/>
    </xf>
    <xf numFmtId="41" fontId="8" fillId="0" borderId="0" xfId="15" applyNumberFormat="1" applyFont="1" applyFill="1" applyBorder="1" applyAlignment="1">
      <alignment/>
    </xf>
    <xf numFmtId="39" fontId="15" fillId="0" borderId="0" xfId="0" applyFont="1" applyBorder="1" applyAlignment="1">
      <alignment/>
    </xf>
    <xf numFmtId="0" fontId="8" fillId="0" borderId="0" xfId="23" applyFont="1" applyBorder="1" applyAlignment="1">
      <alignment/>
      <protection/>
    </xf>
    <xf numFmtId="37" fontId="8" fillId="0" borderId="4" xfId="0" applyNumberFormat="1" applyFont="1" applyFill="1" applyBorder="1" applyAlignment="1">
      <alignment/>
    </xf>
    <xf numFmtId="168" fontId="8" fillId="0" borderId="3" xfId="15" applyNumberFormat="1" applyFont="1" applyFill="1" applyBorder="1" applyAlignment="1">
      <alignment/>
    </xf>
    <xf numFmtId="0" fontId="8" fillId="0" borderId="0" xfId="0" applyNumberFormat="1" applyFont="1" applyFill="1" applyBorder="1" applyAlignment="1" applyProtection="1">
      <alignment/>
      <protection/>
    </xf>
    <xf numFmtId="42" fontId="8" fillId="0" borderId="0" xfId="0" applyNumberFormat="1" applyFont="1" applyFill="1" applyBorder="1" applyAlignment="1" applyProtection="1">
      <alignment/>
      <protection/>
    </xf>
    <xf numFmtId="41" fontId="8" fillId="0" borderId="5" xfId="23" applyNumberFormat="1" applyFont="1" applyFill="1" applyBorder="1" applyAlignment="1">
      <alignment/>
      <protection/>
    </xf>
    <xf numFmtId="43" fontId="8" fillId="0" borderId="1" xfId="15" applyFont="1" applyFill="1" applyBorder="1" applyAlignment="1">
      <alignment/>
    </xf>
    <xf numFmtId="44" fontId="8" fillId="0" borderId="3" xfId="23" applyNumberFormat="1" applyFont="1" applyFill="1" applyBorder="1" applyAlignment="1">
      <alignment/>
      <protection/>
    </xf>
    <xf numFmtId="179" fontId="40" fillId="0" borderId="0" xfId="0" applyNumberFormat="1" applyFont="1" applyFill="1" applyBorder="1" applyAlignment="1" applyProtection="1">
      <alignment/>
      <protection/>
    </xf>
    <xf numFmtId="179" fontId="41" fillId="0" borderId="0" xfId="0" applyNumberFormat="1" applyFont="1" applyFill="1" applyBorder="1" applyAlignment="1" applyProtection="1">
      <alignment/>
      <protection/>
    </xf>
    <xf numFmtId="39" fontId="10" fillId="0" borderId="0" xfId="0" applyFont="1" applyBorder="1" applyAlignment="1">
      <alignment horizontal="center"/>
    </xf>
    <xf numFmtId="169" fontId="9" fillId="0" borderId="0" xfId="0" applyNumberFormat="1" applyFont="1" applyBorder="1" applyAlignment="1" applyProtection="1" quotePrefix="1">
      <alignment horizontal="center"/>
      <protection/>
    </xf>
    <xf numFmtId="43" fontId="8" fillId="0" borderId="0" xfId="0" applyNumberFormat="1" applyFont="1" applyFill="1" applyBorder="1" applyAlignment="1">
      <alignment/>
    </xf>
    <xf numFmtId="37" fontId="8" fillId="0" borderId="0" xfId="0" applyNumberFormat="1" applyFont="1" applyFill="1" applyBorder="1" applyAlignment="1" applyProtection="1">
      <alignment/>
      <protection/>
    </xf>
    <xf numFmtId="44" fontId="8" fillId="0" borderId="0" xfId="17" applyFont="1" applyFill="1" applyBorder="1" applyAlignment="1" applyProtection="1">
      <alignment/>
      <protection/>
    </xf>
    <xf numFmtId="39" fontId="9" fillId="0" borderId="0" xfId="0" applyFont="1" applyBorder="1" applyAlignment="1">
      <alignment horizontal="centerContinuous"/>
    </xf>
    <xf numFmtId="0" fontId="9" fillId="0" borderId="0" xfId="0" applyNumberFormat="1" applyFont="1" applyFill="1" applyBorder="1" applyAlignment="1" quotePrefix="1">
      <alignment horizontal="center"/>
    </xf>
    <xf numFmtId="9" fontId="8" fillId="0" borderId="0" xfId="26" applyNumberFormat="1" applyFont="1" applyFill="1" applyBorder="1" applyAlignment="1">
      <alignment/>
    </xf>
    <xf numFmtId="39" fontId="11" fillId="0" borderId="0" xfId="0" applyFont="1" applyBorder="1" applyAlignment="1">
      <alignment/>
    </xf>
    <xf numFmtId="15" fontId="9" fillId="0" borderId="0" xfId="0" applyNumberFormat="1" applyFont="1" applyBorder="1" applyAlignment="1" applyProtection="1" quotePrefix="1">
      <alignment horizontal="left"/>
      <protection/>
    </xf>
    <xf numFmtId="39" fontId="8" fillId="0" borderId="0" xfId="0" applyFont="1" applyFill="1" applyBorder="1" applyAlignment="1">
      <alignment/>
    </xf>
    <xf numFmtId="39" fontId="9" fillId="0" borderId="0" xfId="0" applyFont="1" applyFill="1" applyBorder="1" applyAlignment="1">
      <alignment/>
    </xf>
    <xf numFmtId="15" fontId="9" fillId="0" borderId="0" xfId="0" applyNumberFormat="1" applyFont="1" applyFill="1" applyBorder="1" applyAlignment="1" applyProtection="1" quotePrefix="1">
      <alignment horizontal="left"/>
      <protection/>
    </xf>
    <xf numFmtId="0" fontId="8" fillId="0" borderId="0" xfId="0" applyNumberFormat="1" applyFont="1" applyFill="1" applyBorder="1" applyAlignment="1" applyProtection="1">
      <alignment/>
      <protection/>
    </xf>
    <xf numFmtId="168" fontId="34" fillId="0" borderId="0" xfId="15" applyNumberFormat="1" applyFont="1" applyFill="1" applyBorder="1" applyAlignment="1" applyProtection="1">
      <alignment/>
      <protection/>
    </xf>
    <xf numFmtId="0" fontId="34" fillId="0" borderId="0" xfId="0" applyNumberFormat="1" applyFont="1" applyFill="1" applyBorder="1" applyAlignment="1" applyProtection="1">
      <alignment/>
      <protection/>
    </xf>
    <xf numFmtId="39" fontId="0" fillId="0" borderId="0" xfId="0" applyAlignment="1">
      <alignment horizontal="center"/>
    </xf>
    <xf numFmtId="0" fontId="9" fillId="0" borderId="0" xfId="0" applyNumberFormat="1" applyFont="1" applyBorder="1" applyAlignment="1" quotePrefix="1">
      <alignment horizontal="center" wrapText="1"/>
    </xf>
    <xf numFmtId="39" fontId="9" fillId="0" borderId="0" xfId="0" applyFont="1" applyFill="1" applyBorder="1" applyAlignment="1">
      <alignment horizontal="left"/>
    </xf>
    <xf numFmtId="39" fontId="13" fillId="0" borderId="0" xfId="0" applyFont="1" applyBorder="1" applyAlignment="1">
      <alignment/>
    </xf>
    <xf numFmtId="39" fontId="15" fillId="0" borderId="0" xfId="0" applyFont="1" applyFill="1" applyBorder="1" applyAlignment="1">
      <alignment/>
    </xf>
    <xf numFmtId="43" fontId="9" fillId="0" borderId="1" xfId="15" applyFont="1" applyBorder="1" applyAlignment="1" quotePrefix="1">
      <alignment horizontal="center"/>
    </xf>
    <xf numFmtId="0" fontId="8" fillId="0" borderId="0" xfId="0" applyNumberFormat="1" applyFont="1" applyFill="1" applyBorder="1" applyAlignment="1">
      <alignment/>
    </xf>
    <xf numFmtId="49" fontId="9" fillId="0" borderId="1" xfId="0" applyNumberFormat="1" applyFont="1" applyBorder="1" applyAlignment="1">
      <alignment horizontal="center"/>
    </xf>
    <xf numFmtId="39" fontId="8" fillId="0" borderId="0" xfId="0" applyFont="1" applyFill="1" applyAlignment="1">
      <alignment horizontal="right"/>
    </xf>
    <xf numFmtId="0" fontId="29" fillId="0" borderId="0" xfId="22" applyNumberFormat="1" applyFont="1" applyBorder="1" applyAlignment="1">
      <alignment/>
      <protection/>
    </xf>
    <xf numFmtId="44" fontId="8" fillId="0" borderId="5" xfId="23" applyNumberFormat="1" applyFont="1" applyFill="1" applyBorder="1" applyAlignment="1">
      <alignment/>
      <protection/>
    </xf>
    <xf numFmtId="0" fontId="8" fillId="0" borderId="0" xfId="23" applyNumberFormat="1" applyFont="1" applyBorder="1" applyAlignment="1">
      <alignment horizontal="left" wrapText="1"/>
      <protection/>
    </xf>
    <xf numFmtId="39" fontId="8" fillId="0" borderId="0" xfId="0" applyFont="1" applyAlignment="1">
      <alignment horizontal="center"/>
    </xf>
    <xf numFmtId="39" fontId="9" fillId="0" borderId="0" xfId="0" applyFont="1" applyAlignment="1">
      <alignment wrapText="1"/>
    </xf>
    <xf numFmtId="39" fontId="43" fillId="0" borderId="0" xfId="0" applyFont="1" applyAlignment="1">
      <alignment/>
    </xf>
    <xf numFmtId="9" fontId="8" fillId="0" borderId="1" xfId="26" applyFont="1" applyFill="1" applyBorder="1" applyAlignment="1">
      <alignment horizontal="right"/>
    </xf>
    <xf numFmtId="168" fontId="8" fillId="0" borderId="5" xfId="15" applyNumberFormat="1" applyFont="1" applyFill="1" applyBorder="1" applyAlignment="1">
      <alignment/>
    </xf>
    <xf numFmtId="42" fontId="8" fillId="0" borderId="0" xfId="17" applyNumberFormat="1" applyFont="1" applyFill="1" applyAlignment="1">
      <alignment horizontal="right"/>
    </xf>
    <xf numFmtId="168" fontId="8" fillId="0" borderId="3" xfId="15" applyNumberFormat="1" applyFont="1" applyFill="1" applyBorder="1" applyAlignment="1">
      <alignment/>
    </xf>
    <xf numFmtId="168" fontId="8" fillId="0" borderId="5" xfId="15" applyNumberFormat="1" applyFont="1" applyFill="1" applyBorder="1" applyAlignment="1">
      <alignment/>
    </xf>
    <xf numFmtId="39" fontId="9" fillId="0" borderId="0" xfId="0" applyFont="1" applyAlignment="1" quotePrefix="1">
      <alignment horizontal="center"/>
    </xf>
    <xf numFmtId="168" fontId="1" fillId="0" borderId="0" xfId="15" applyNumberFormat="1" applyFont="1" applyFill="1" applyAlignment="1">
      <alignment/>
    </xf>
    <xf numFmtId="168" fontId="1" fillId="0" borderId="0" xfId="15" applyNumberFormat="1" applyFont="1" applyAlignment="1">
      <alignment horizontal="left"/>
    </xf>
    <xf numFmtId="168" fontId="1" fillId="0" borderId="0" xfId="15" applyNumberFormat="1" applyFont="1" applyAlignment="1">
      <alignment/>
    </xf>
    <xf numFmtId="0" fontId="8" fillId="0" borderId="0" xfId="0" applyNumberFormat="1" applyFont="1" applyAlignment="1" applyProtection="1" quotePrefix="1">
      <alignment/>
      <protection/>
    </xf>
    <xf numFmtId="39" fontId="16" fillId="0" borderId="0" xfId="0" applyFont="1" applyAlignment="1">
      <alignment/>
    </xf>
    <xf numFmtId="37" fontId="0" fillId="0" borderId="0" xfId="0" applyNumberFormat="1" applyAlignment="1">
      <alignment/>
    </xf>
    <xf numFmtId="37" fontId="8" fillId="0" borderId="6" xfId="0" applyNumberFormat="1" applyFont="1" applyFill="1" applyBorder="1" applyAlignment="1">
      <alignment/>
    </xf>
    <xf numFmtId="9" fontId="8" fillId="0" borderId="0" xfId="26" applyNumberFormat="1" applyFont="1" applyAlignment="1">
      <alignment/>
    </xf>
    <xf numFmtId="41" fontId="8" fillId="0" borderId="0" xfId="0" applyNumberFormat="1" applyFont="1" applyBorder="1" applyAlignment="1">
      <alignment horizontal="center"/>
    </xf>
    <xf numFmtId="0" fontId="9" fillId="0" borderId="0" xfId="23" applyNumberFormat="1" applyFont="1" applyFill="1" applyAlignment="1">
      <alignment vertical="center"/>
      <protection/>
    </xf>
    <xf numFmtId="39" fontId="10" fillId="0" borderId="0" xfId="0" applyFont="1" applyBorder="1" applyAlignment="1">
      <alignment/>
    </xf>
    <xf numFmtId="0" fontId="10" fillId="0" borderId="0" xfId="23" applyNumberFormat="1" applyFont="1" applyAlignment="1">
      <alignment/>
      <protection/>
    </xf>
    <xf numFmtId="0" fontId="10" fillId="0" borderId="0" xfId="0" applyNumberFormat="1" applyFont="1" applyAlignment="1" applyProtection="1">
      <alignment/>
      <protection/>
    </xf>
    <xf numFmtId="0" fontId="9" fillId="0" borderId="0" xfId="0" applyNumberFormat="1" applyFont="1" applyAlignment="1" applyProtection="1">
      <alignment/>
      <protection/>
    </xf>
    <xf numFmtId="0" fontId="7" fillId="0" borderId="0" xfId="23" applyNumberFormat="1" applyFont="1" applyAlignment="1">
      <alignment/>
      <protection/>
    </xf>
    <xf numFmtId="49" fontId="18" fillId="0" borderId="0" xfId="15" applyNumberFormat="1" applyFont="1" applyFill="1" applyBorder="1" applyAlignment="1">
      <alignment/>
    </xf>
    <xf numFmtId="166" fontId="18" fillId="0" borderId="0" xfId="26" applyNumberFormat="1" applyFont="1" applyFill="1" applyBorder="1" applyAlignment="1">
      <alignment/>
    </xf>
    <xf numFmtId="9" fontId="8" fillId="0" borderId="0" xfId="17" applyNumberFormat="1" applyFont="1" applyFill="1" applyBorder="1" applyAlignment="1">
      <alignment/>
    </xf>
    <xf numFmtId="0" fontId="20" fillId="0" borderId="0" xfId="20" applyNumberFormat="1" applyFont="1" applyFill="1" applyAlignment="1">
      <alignment/>
    </xf>
    <xf numFmtId="39" fontId="13" fillId="0" borderId="0" xfId="0" applyFont="1" applyFill="1" applyAlignment="1">
      <alignment/>
    </xf>
    <xf numFmtId="9" fontId="13" fillId="0" borderId="0" xfId="26" applyFont="1" applyAlignment="1">
      <alignment/>
    </xf>
    <xf numFmtId="9" fontId="13" fillId="0" borderId="0" xfId="26" applyFont="1" applyBorder="1" applyAlignment="1">
      <alignment/>
    </xf>
    <xf numFmtId="9" fontId="22" fillId="0" borderId="0" xfId="26" applyFont="1" applyAlignment="1">
      <alignment/>
    </xf>
    <xf numFmtId="172" fontId="44" fillId="0" borderId="0" xfId="0" applyNumberFormat="1" applyFont="1" applyAlignment="1">
      <alignment/>
    </xf>
    <xf numFmtId="168" fontId="29" fillId="0" borderId="0" xfId="15" applyNumberFormat="1" applyFont="1" applyAlignment="1">
      <alignment/>
    </xf>
    <xf numFmtId="39" fontId="9" fillId="0" borderId="0" xfId="0" applyFont="1" applyFill="1" applyBorder="1" applyAlignment="1">
      <alignment vertical="top" wrapText="1"/>
    </xf>
    <xf numFmtId="39" fontId="9" fillId="0" borderId="0" xfId="0" applyFont="1" applyBorder="1" applyAlignment="1">
      <alignment vertical="top" wrapText="1"/>
    </xf>
    <xf numFmtId="169" fontId="9" fillId="0" borderId="0" xfId="0" applyNumberFormat="1" applyFont="1" applyBorder="1" applyAlignment="1" applyProtection="1">
      <alignment horizontal="center"/>
      <protection/>
    </xf>
    <xf numFmtId="0" fontId="9" fillId="0" borderId="0" xfId="0" applyNumberFormat="1" applyFont="1" applyFill="1" applyBorder="1" applyAlignment="1" applyProtection="1">
      <alignment/>
      <protection/>
    </xf>
    <xf numFmtId="4" fontId="9" fillId="0" borderId="0" xfId="0" applyNumberFormat="1" applyFont="1" applyBorder="1" applyAlignment="1" applyProtection="1">
      <alignment/>
      <protection/>
    </xf>
    <xf numFmtId="39" fontId="9" fillId="0" borderId="0" xfId="0" applyFont="1" applyBorder="1" applyAlignment="1">
      <alignment/>
    </xf>
    <xf numFmtId="39" fontId="11" fillId="0" borderId="0" xfId="0" applyFont="1" applyBorder="1" applyAlignment="1">
      <alignment horizontal="left"/>
    </xf>
    <xf numFmtId="168" fontId="9" fillId="0" borderId="0" xfId="15" applyNumberFormat="1" applyFont="1" applyFill="1" applyBorder="1" applyAlignment="1">
      <alignment/>
    </xf>
    <xf numFmtId="39" fontId="9" fillId="0" borderId="0" xfId="0" applyFont="1" applyBorder="1" applyAlignment="1">
      <alignment horizontal="left"/>
    </xf>
    <xf numFmtId="37" fontId="8" fillId="3" borderId="6" xfId="0" applyNumberFormat="1" applyFont="1" applyFill="1" applyBorder="1" applyAlignment="1">
      <alignment/>
    </xf>
    <xf numFmtId="9" fontId="8" fillId="0" borderId="0" xfId="0" applyNumberFormat="1" applyFont="1" applyFill="1" applyBorder="1" applyAlignment="1">
      <alignment/>
    </xf>
    <xf numFmtId="41" fontId="8" fillId="0" borderId="0" xfId="26" applyNumberFormat="1" applyFont="1" applyFill="1" applyBorder="1" applyAlignment="1">
      <alignment/>
    </xf>
    <xf numFmtId="9" fontId="33" fillId="0" borderId="0" xfId="26" applyFont="1" applyFill="1" applyBorder="1" applyAlignment="1">
      <alignment/>
    </xf>
    <xf numFmtId="42" fontId="8" fillId="0" borderId="0" xfId="15" applyNumberFormat="1" applyFont="1" applyFill="1" applyBorder="1" applyAlignment="1">
      <alignment/>
    </xf>
    <xf numFmtId="9" fontId="8" fillId="0" borderId="0" xfId="26" applyNumberFormat="1" applyFont="1" applyFill="1" applyBorder="1" applyAlignment="1">
      <alignment/>
    </xf>
    <xf numFmtId="39" fontId="24" fillId="0" borderId="0" xfId="0" applyFont="1" applyFill="1" applyAlignment="1">
      <alignment/>
    </xf>
    <xf numFmtId="0" fontId="40" fillId="0" borderId="0" xfId="0" applyNumberFormat="1" applyFont="1" applyFill="1" applyBorder="1" applyAlignment="1" applyProtection="1">
      <alignment/>
      <protection/>
    </xf>
    <xf numFmtId="39" fontId="1" fillId="0" borderId="0" xfId="0" applyFont="1" applyAlignment="1">
      <alignment/>
    </xf>
    <xf numFmtId="39" fontId="9" fillId="0" borderId="4" xfId="0" applyFont="1" applyBorder="1" applyAlignment="1">
      <alignment horizontal="center"/>
    </xf>
    <xf numFmtId="43" fontId="45" fillId="0" borderId="0" xfId="15" applyFont="1" applyFill="1" applyAlignment="1">
      <alignment/>
    </xf>
    <xf numFmtId="168" fontId="45" fillId="0" borderId="2" xfId="15" applyNumberFormat="1" applyFont="1" applyFill="1" applyBorder="1" applyAlignment="1">
      <alignment/>
    </xf>
    <xf numFmtId="167" fontId="45" fillId="0" borderId="0" xfId="17" applyNumberFormat="1" applyFont="1" applyFill="1" applyBorder="1" applyAlignment="1">
      <alignment/>
    </xf>
    <xf numFmtId="41" fontId="45" fillId="0" borderId="0" xfId="23" applyNumberFormat="1" applyFont="1" applyFill="1" applyBorder="1" applyAlignment="1">
      <alignment/>
      <protection/>
    </xf>
    <xf numFmtId="43" fontId="45" fillId="0" borderId="3" xfId="15" applyFont="1" applyFill="1" applyBorder="1" applyAlignment="1">
      <alignment/>
    </xf>
    <xf numFmtId="43" fontId="46" fillId="0" borderId="0" xfId="15" applyFont="1" applyFill="1" applyAlignment="1">
      <alignment/>
    </xf>
    <xf numFmtId="43" fontId="46" fillId="0" borderId="0" xfId="15" applyFont="1" applyFill="1" applyBorder="1" applyAlignment="1">
      <alignment/>
    </xf>
    <xf numFmtId="43" fontId="46" fillId="0" borderId="2" xfId="15" applyFont="1" applyFill="1" applyBorder="1" applyAlignment="1">
      <alignment/>
    </xf>
    <xf numFmtId="43" fontId="46" fillId="0" borderId="3" xfId="15" applyFont="1" applyFill="1" applyBorder="1" applyAlignment="1">
      <alignment/>
    </xf>
    <xf numFmtId="168" fontId="46" fillId="0" borderId="2" xfId="15" applyNumberFormat="1" applyFont="1" applyFill="1" applyBorder="1" applyAlignment="1">
      <alignment/>
    </xf>
    <xf numFmtId="17" fontId="9" fillId="0" borderId="1" xfId="25" applyNumberFormat="1" applyFont="1" applyBorder="1" applyAlignment="1" applyProtection="1" quotePrefix="1">
      <alignment horizontal="center"/>
      <protection/>
    </xf>
    <xf numFmtId="9" fontId="33" fillId="0" borderId="0" xfId="15" applyNumberFormat="1" applyFont="1" applyFill="1" applyBorder="1" applyAlignment="1">
      <alignment/>
    </xf>
    <xf numFmtId="167" fontId="9" fillId="0" borderId="3" xfId="17" applyNumberFormat="1" applyFont="1" applyFill="1" applyBorder="1" applyAlignment="1">
      <alignment/>
    </xf>
    <xf numFmtId="9" fontId="13" fillId="0" borderId="0" xfId="26" applyFont="1" applyFill="1" applyAlignment="1">
      <alignment/>
    </xf>
    <xf numFmtId="9" fontId="8" fillId="0" borderId="1" xfId="26" applyNumberFormat="1" applyFont="1" applyFill="1" applyBorder="1" applyAlignment="1">
      <alignment/>
    </xf>
    <xf numFmtId="177" fontId="8" fillId="0" borderId="0" xfId="0" applyNumberFormat="1" applyFont="1" applyAlignment="1">
      <alignment/>
    </xf>
    <xf numFmtId="168" fontId="8" fillId="0" borderId="0" xfId="0" applyNumberFormat="1" applyFont="1" applyAlignment="1" applyProtection="1">
      <alignment/>
      <protection/>
    </xf>
    <xf numFmtId="41" fontId="29" fillId="0" borderId="0" xfId="22" applyNumberFormat="1" applyFont="1" applyBorder="1" applyAlignment="1">
      <alignment/>
      <protection/>
    </xf>
    <xf numFmtId="39" fontId="8" fillId="3" borderId="6" xfId="0" applyFont="1" applyFill="1" applyBorder="1" applyAlignment="1">
      <alignment/>
    </xf>
    <xf numFmtId="39" fontId="47" fillId="0" borderId="0" xfId="0" applyFont="1" applyAlignment="1">
      <alignment/>
    </xf>
    <xf numFmtId="39" fontId="48" fillId="0" borderId="0" xfId="0" applyFont="1" applyAlignment="1">
      <alignment/>
    </xf>
    <xf numFmtId="39" fontId="34" fillId="0" borderId="0" xfId="0" applyFont="1" applyFill="1" applyAlignment="1">
      <alignment/>
    </xf>
    <xf numFmtId="39" fontId="19" fillId="0" borderId="0" xfId="0" applyFont="1" applyFill="1" applyAlignment="1">
      <alignment horizontal="left" vertical="center" wrapText="1"/>
    </xf>
    <xf numFmtId="0" fontId="20" fillId="0" borderId="0" xfId="0" applyNumberFormat="1" applyFont="1" applyFill="1" applyBorder="1" applyAlignment="1" applyProtection="1">
      <alignment vertical="top" wrapText="1"/>
      <protection/>
    </xf>
    <xf numFmtId="39" fontId="49" fillId="0" borderId="0" xfId="0" applyFont="1" applyAlignment="1">
      <alignment/>
    </xf>
    <xf numFmtId="39" fontId="15" fillId="0" borderId="0" xfId="0" applyFont="1" applyAlignment="1">
      <alignment horizontal="right"/>
    </xf>
    <xf numFmtId="39" fontId="8" fillId="0" borderId="0" xfId="0" applyFont="1" applyBorder="1" applyAlignment="1">
      <alignment wrapText="1"/>
    </xf>
    <xf numFmtId="0" fontId="8" fillId="0" borderId="0" xfId="0" applyNumberFormat="1" applyFont="1" applyBorder="1" applyAlignment="1">
      <alignment horizontal="left" vertical="top" wrapText="1"/>
    </xf>
    <xf numFmtId="41" fontId="8" fillId="0" borderId="1" xfId="0" applyNumberFormat="1" applyFont="1" applyFill="1" applyBorder="1" applyAlignment="1">
      <alignment/>
    </xf>
    <xf numFmtId="166" fontId="0" fillId="0" borderId="0" xfId="26" applyNumberFormat="1" applyAlignment="1">
      <alignment/>
    </xf>
    <xf numFmtId="9" fontId="0" fillId="0" borderId="0" xfId="26" applyNumberFormat="1" applyAlignment="1">
      <alignment/>
    </xf>
    <xf numFmtId="9" fontId="0" fillId="0" borderId="0" xfId="26" applyNumberFormat="1" applyFont="1" applyAlignment="1">
      <alignment/>
    </xf>
    <xf numFmtId="169" fontId="9" fillId="0" borderId="0" xfId="0" applyNumberFormat="1" applyFont="1" applyAlignment="1" applyProtection="1" quotePrefix="1">
      <alignment horizontal="center"/>
      <protection/>
    </xf>
    <xf numFmtId="178" fontId="29" fillId="0" borderId="1" xfId="0" applyNumberFormat="1" applyFont="1" applyFill="1" applyBorder="1" applyAlignment="1" applyProtection="1">
      <alignment/>
      <protection/>
    </xf>
    <xf numFmtId="37" fontId="29" fillId="0" borderId="0" xfId="0" applyNumberFormat="1" applyFont="1" applyFill="1" applyAlignment="1">
      <alignment/>
    </xf>
    <xf numFmtId="41" fontId="29" fillId="0" borderId="0" xfId="22" applyNumberFormat="1" applyFont="1" applyFill="1" applyBorder="1" applyAlignment="1">
      <alignment/>
      <protection/>
    </xf>
    <xf numFmtId="168" fontId="29" fillId="0" borderId="0" xfId="15" applyNumberFormat="1" applyFont="1" applyFill="1" applyAlignment="1">
      <alignment/>
    </xf>
    <xf numFmtId="167" fontId="29" fillId="0" borderId="3" xfId="17" applyNumberFormat="1" applyFont="1" applyFill="1" applyBorder="1" applyAlignment="1" applyProtection="1">
      <alignment/>
      <protection/>
    </xf>
    <xf numFmtId="0" fontId="8" fillId="0" borderId="0" xfId="0" applyNumberFormat="1" applyFont="1" applyFill="1" applyAlignment="1" applyProtection="1">
      <alignment/>
      <protection/>
    </xf>
    <xf numFmtId="167" fontId="8" fillId="0" borderId="0" xfId="17" applyNumberFormat="1" applyFont="1" applyFill="1" applyAlignment="1" applyProtection="1">
      <alignment/>
      <protection/>
    </xf>
    <xf numFmtId="167" fontId="9" fillId="0" borderId="0" xfId="0" applyNumberFormat="1" applyFont="1" applyFill="1" applyAlignment="1" applyProtection="1">
      <alignment/>
      <protection/>
    </xf>
    <xf numFmtId="168" fontId="1" fillId="0" borderId="0" xfId="15" applyNumberFormat="1" applyFont="1" applyFill="1" applyAlignment="1">
      <alignment horizontal="left"/>
    </xf>
    <xf numFmtId="168" fontId="1" fillId="0" borderId="0" xfId="15" applyNumberFormat="1" applyFont="1" applyFill="1" applyAlignment="1">
      <alignment/>
    </xf>
    <xf numFmtId="0" fontId="9" fillId="0" borderId="1" xfId="0" applyNumberFormat="1" applyFont="1" applyFill="1" applyBorder="1" applyAlignment="1" quotePrefix="1">
      <alignment horizontal="center"/>
    </xf>
    <xf numFmtId="43" fontId="8" fillId="0" borderId="0" xfId="15" applyFont="1" applyFill="1" applyAlignment="1">
      <alignment/>
    </xf>
    <xf numFmtId="39" fontId="8" fillId="0" borderId="0" xfId="21" applyFont="1">
      <alignment/>
      <protection/>
    </xf>
    <xf numFmtId="39" fontId="7" fillId="0" borderId="3" xfId="0" applyFont="1" applyFill="1" applyBorder="1" applyAlignment="1">
      <alignment/>
    </xf>
    <xf numFmtId="39" fontId="9" fillId="0" borderId="3" xfId="0" applyFont="1" applyFill="1" applyBorder="1" applyAlignment="1">
      <alignment/>
    </xf>
    <xf numFmtId="41" fontId="8" fillId="0" borderId="1" xfId="0" applyNumberFormat="1" applyFont="1" applyFill="1" applyBorder="1" applyAlignment="1">
      <alignment/>
    </xf>
    <xf numFmtId="0" fontId="7" fillId="0" borderId="0" xfId="23" applyNumberFormat="1" applyFont="1" applyFill="1" applyAlignment="1">
      <alignment horizontal="center" vertical="center"/>
      <protection/>
    </xf>
    <xf numFmtId="39" fontId="10" fillId="0" borderId="0" xfId="0" applyFont="1" applyAlignment="1">
      <alignment horizontal="center"/>
    </xf>
    <xf numFmtId="39" fontId="10" fillId="0" borderId="0" xfId="21" applyFont="1" applyFill="1" applyAlignment="1">
      <alignment wrapText="1"/>
      <protection/>
    </xf>
    <xf numFmtId="39" fontId="2" fillId="0" borderId="0" xfId="0" applyFont="1" applyFill="1" applyAlignment="1">
      <alignment wrapText="1"/>
    </xf>
    <xf numFmtId="0" fontId="7" fillId="0" borderId="0" xfId="0" applyNumberFormat="1" applyFont="1" applyAlignment="1" applyProtection="1">
      <alignment horizontal="center"/>
      <protection/>
    </xf>
    <xf numFmtId="0" fontId="10" fillId="0" borderId="0" xfId="0" applyNumberFormat="1" applyFont="1" applyAlignment="1" applyProtection="1">
      <alignment horizontal="center"/>
      <protection/>
    </xf>
    <xf numFmtId="0" fontId="9" fillId="0" borderId="0" xfId="0" applyNumberFormat="1" applyFont="1" applyAlignment="1" applyProtection="1">
      <alignment horizontal="center"/>
      <protection/>
    </xf>
    <xf numFmtId="0" fontId="20" fillId="0" borderId="0" xfId="20" applyNumberFormat="1" applyFont="1" applyFill="1" applyAlignment="1">
      <alignment vertical="top" wrapText="1"/>
    </xf>
    <xf numFmtId="39" fontId="20" fillId="0" borderId="0" xfId="0" applyFont="1" applyFill="1" applyBorder="1" applyAlignment="1">
      <alignment horizontal="left" wrapText="1"/>
    </xf>
    <xf numFmtId="39" fontId="9" fillId="0" borderId="0" xfId="0" applyFont="1" applyFill="1" applyAlignment="1">
      <alignment horizontal="center"/>
    </xf>
    <xf numFmtId="39" fontId="9" fillId="0" borderId="4" xfId="0" applyFont="1" applyBorder="1" applyAlignment="1">
      <alignment horizontal="center"/>
    </xf>
    <xf numFmtId="39" fontId="15" fillId="0" borderId="4" xfId="0" applyFont="1" applyBorder="1" applyAlignment="1">
      <alignment horizontal="center"/>
    </xf>
    <xf numFmtId="39" fontId="8" fillId="0" borderId="0" xfId="0" applyFont="1" applyAlignment="1">
      <alignment vertical="top" wrapText="1"/>
    </xf>
    <xf numFmtId="39" fontId="15" fillId="0" borderId="0" xfId="0" applyFont="1" applyAlignment="1">
      <alignment vertical="top" wrapText="1"/>
    </xf>
    <xf numFmtId="39" fontId="15" fillId="0" borderId="0" xfId="0" applyFont="1" applyAlignment="1">
      <alignment wrapText="1"/>
    </xf>
    <xf numFmtId="39" fontId="13" fillId="0" borderId="0" xfId="0" applyFont="1" applyAlignment="1">
      <alignment horizontal="left" vertical="top" wrapText="1"/>
    </xf>
    <xf numFmtId="39" fontId="13" fillId="0" borderId="0" xfId="0" applyFont="1" applyAlignment="1">
      <alignment vertical="top" wrapText="1"/>
    </xf>
    <xf numFmtId="0" fontId="9" fillId="0" borderId="0" xfId="0" applyNumberFormat="1" applyFont="1" applyAlignment="1">
      <alignment horizontal="left"/>
    </xf>
    <xf numFmtId="0" fontId="2" fillId="0" borderId="0" xfId="0" applyNumberFormat="1" applyFont="1" applyAlignment="1">
      <alignment horizontal="left"/>
    </xf>
    <xf numFmtId="39" fontId="8" fillId="0" borderId="0" xfId="0" applyFont="1" applyAlignment="1">
      <alignment wrapText="1"/>
    </xf>
    <xf numFmtId="39" fontId="22" fillId="0" borderId="0" xfId="0" applyFont="1" applyAlignment="1">
      <alignment horizontal="left" vertical="top" wrapText="1"/>
    </xf>
    <xf numFmtId="39" fontId="9" fillId="0" borderId="0" xfId="0" applyFont="1" applyAlignment="1">
      <alignment horizontal="center" wrapText="1"/>
    </xf>
    <xf numFmtId="39" fontId="15" fillId="0" borderId="0" xfId="0" applyFont="1" applyAlignment="1">
      <alignment/>
    </xf>
    <xf numFmtId="39" fontId="9" fillId="0" borderId="0" xfId="0" applyNumberFormat="1" applyFont="1" applyBorder="1" applyAlignment="1">
      <alignment horizontal="center"/>
    </xf>
    <xf numFmtId="0" fontId="9" fillId="0" borderId="0" xfId="0" applyNumberFormat="1" applyFont="1" applyBorder="1" applyAlignment="1">
      <alignment horizontal="center"/>
    </xf>
    <xf numFmtId="39" fontId="7" fillId="0" borderId="0" xfId="0" applyFont="1" applyAlignment="1">
      <alignment horizontal="center"/>
    </xf>
    <xf numFmtId="39" fontId="9" fillId="0" borderId="0" xfId="0" applyFont="1" applyAlignment="1">
      <alignment horizontal="center"/>
    </xf>
    <xf numFmtId="39" fontId="10" fillId="0" borderId="0" xfId="0" applyFont="1" applyFill="1" applyAlignment="1">
      <alignment horizontal="center"/>
    </xf>
    <xf numFmtId="39" fontId="20" fillId="0" borderId="0" xfId="0" applyFont="1" applyAlignment="1">
      <alignment horizontal="left" wrapText="1"/>
    </xf>
    <xf numFmtId="0" fontId="9" fillId="0" borderId="0" xfId="23" applyNumberFormat="1" applyFont="1" applyFill="1" applyAlignment="1">
      <alignment horizontal="center" vertical="center"/>
      <protection/>
    </xf>
    <xf numFmtId="0" fontId="10" fillId="0" borderId="0" xfId="23" applyNumberFormat="1" applyFont="1" applyFill="1" applyAlignment="1">
      <alignment horizontal="center" vertical="center"/>
      <protection/>
    </xf>
    <xf numFmtId="0" fontId="9" fillId="0" borderId="0" xfId="23" applyNumberFormat="1" applyFont="1" applyFill="1" applyAlignment="1">
      <alignment horizontal="center" vertical="center"/>
      <protection/>
    </xf>
    <xf numFmtId="39" fontId="20" fillId="0" borderId="0" xfId="0" applyFont="1" applyFill="1" applyAlignment="1">
      <alignment horizontal="left" vertical="center" wrapText="1"/>
    </xf>
    <xf numFmtId="39" fontId="0" fillId="0" borderId="0" xfId="0" applyAlignment="1">
      <alignment horizontal="left"/>
    </xf>
    <xf numFmtId="39" fontId="0" fillId="0" borderId="0" xfId="0" applyAlignment="1">
      <alignment horizontal="left" vertical="center" wrapText="1"/>
    </xf>
    <xf numFmtId="176" fontId="9" fillId="0" borderId="1" xfId="0" applyNumberFormat="1" applyFont="1" applyFill="1" applyBorder="1" applyAlignment="1" quotePrefix="1">
      <alignment horizontal="center"/>
    </xf>
    <xf numFmtId="176" fontId="9" fillId="0" borderId="1" xfId="0" applyNumberFormat="1" applyFont="1" applyFill="1" applyBorder="1" applyAlignment="1">
      <alignment horizontal="center"/>
    </xf>
    <xf numFmtId="39" fontId="8" fillId="0" borderId="0" xfId="0" applyFont="1" applyFill="1" applyAlignment="1" quotePrefix="1">
      <alignment horizontal="left" wrapText="1"/>
    </xf>
    <xf numFmtId="39" fontId="8" fillId="0" borderId="0" xfId="0" applyFont="1" applyFill="1" applyAlignment="1">
      <alignment horizontal="left" wrapText="1"/>
    </xf>
    <xf numFmtId="39" fontId="0" fillId="0" borderId="0" xfId="0" applyFont="1" applyFill="1" applyAlignment="1">
      <alignment wrapText="1"/>
    </xf>
    <xf numFmtId="0" fontId="20" fillId="0" borderId="0" xfId="0" applyNumberFormat="1" applyFont="1" applyFill="1" applyBorder="1" applyAlignment="1" applyProtection="1">
      <alignment vertical="top" wrapText="1"/>
      <protection/>
    </xf>
    <xf numFmtId="39" fontId="0" fillId="0" borderId="0" xfId="0" applyAlignment="1">
      <alignment wrapText="1"/>
    </xf>
    <xf numFmtId="39" fontId="20" fillId="0" borderId="0" xfId="0" applyFont="1" applyAlignment="1">
      <alignment vertical="top" wrapText="1"/>
    </xf>
    <xf numFmtId="39" fontId="19" fillId="0" borderId="0" xfId="0" applyFont="1" applyAlignment="1">
      <alignment vertical="top" wrapText="1"/>
    </xf>
    <xf numFmtId="39" fontId="20" fillId="0" borderId="0" xfId="0" applyFont="1" applyFill="1" applyAlignment="1">
      <alignment horizontal="left" vertical="top" wrapText="1"/>
    </xf>
    <xf numFmtId="39" fontId="19" fillId="0" borderId="0" xfId="0" applyFont="1" applyFill="1" applyAlignment="1">
      <alignment horizontal="left" vertical="top" wrapText="1"/>
    </xf>
    <xf numFmtId="39" fontId="7" fillId="0" borderId="0" xfId="0" applyFont="1" applyAlignment="1">
      <alignment horizontal="center" wrapText="1"/>
    </xf>
    <xf numFmtId="39" fontId="9" fillId="0" borderId="0" xfId="0" applyFont="1" applyFill="1" applyAlignment="1">
      <alignment horizontal="center"/>
    </xf>
    <xf numFmtId="39" fontId="10" fillId="0" borderId="0" xfId="0" applyFont="1" applyAlignment="1">
      <alignment horizontal="center" wrapText="1"/>
    </xf>
    <xf numFmtId="39" fontId="20" fillId="0" borderId="0" xfId="21" applyFont="1" applyFill="1" applyAlignment="1">
      <alignment wrapText="1"/>
      <protection/>
    </xf>
    <xf numFmtId="39" fontId="0" fillId="0" borderId="0" xfId="0" applyFill="1" applyAlignment="1">
      <alignment wrapText="1"/>
    </xf>
    <xf numFmtId="39" fontId="9" fillId="0" borderId="0" xfId="0" applyFont="1" applyAlignment="1" quotePrefix="1">
      <alignment horizontal="center"/>
    </xf>
    <xf numFmtId="39" fontId="20" fillId="0" borderId="0" xfId="0" applyFont="1" applyFill="1" applyAlignment="1">
      <alignment horizontal="left" wrapText="1"/>
    </xf>
    <xf numFmtId="0" fontId="10" fillId="0" borderId="0" xfId="23" applyNumberFormat="1" applyFont="1" applyAlignment="1">
      <alignment horizontal="center"/>
      <protection/>
    </xf>
    <xf numFmtId="0" fontId="7" fillId="0" borderId="0" xfId="23" applyNumberFormat="1" applyFont="1" applyAlignment="1">
      <alignment horizontal="center"/>
      <protection/>
    </xf>
    <xf numFmtId="0" fontId="9" fillId="0" borderId="0" xfId="23" applyNumberFormat="1" applyFont="1" applyAlignment="1">
      <alignment horizontal="center"/>
      <protection/>
    </xf>
    <xf numFmtId="39" fontId="8" fillId="0" borderId="0" xfId="0" applyFont="1" applyAlignment="1">
      <alignment horizontal="center"/>
    </xf>
    <xf numFmtId="39" fontId="8" fillId="0" borderId="0" xfId="0" applyFont="1" applyAlignment="1">
      <alignment horizontal="left" vertical="top" wrapText="1"/>
    </xf>
    <xf numFmtId="39" fontId="0" fillId="0" borderId="0" xfId="0" applyFont="1" applyAlignment="1">
      <alignment wrapText="1"/>
    </xf>
    <xf numFmtId="39" fontId="8" fillId="0" borderId="0" xfId="0" applyFont="1" applyFill="1" applyAlignment="1">
      <alignment horizontal="left" vertical="top" wrapText="1"/>
    </xf>
    <xf numFmtId="39" fontId="43" fillId="0" borderId="0" xfId="0" applyFont="1" applyAlignment="1">
      <alignment horizontal="left" wrapText="1"/>
    </xf>
    <xf numFmtId="39" fontId="10" fillId="0" borderId="0" xfId="0" applyFont="1" applyBorder="1" applyAlignment="1">
      <alignment horizontal="center"/>
    </xf>
    <xf numFmtId="39" fontId="9" fillId="0" borderId="0" xfId="0" applyFont="1" applyFill="1" applyBorder="1" applyAlignment="1">
      <alignment vertical="top" wrapText="1"/>
    </xf>
    <xf numFmtId="39" fontId="0" fillId="0" borderId="0" xfId="0" applyAlignment="1">
      <alignment vertical="top" wrapText="1"/>
    </xf>
    <xf numFmtId="39" fontId="9" fillId="0" borderId="0" xfId="0" applyFont="1" applyFill="1" applyBorder="1" applyAlignment="1">
      <alignment vertical="justify" wrapText="1"/>
    </xf>
    <xf numFmtId="39" fontId="8" fillId="0" borderId="0" xfId="0" applyFont="1" applyFill="1" applyBorder="1" applyAlignment="1">
      <alignment vertical="top" wrapText="1"/>
    </xf>
  </cellXfs>
  <cellStyles count="13">
    <cellStyle name="Normal" xfId="0"/>
    <cellStyle name="Comma" xfId="15"/>
    <cellStyle name="Comma [0]" xfId="16"/>
    <cellStyle name="Currency" xfId="17"/>
    <cellStyle name="Currency [0]" xfId="18"/>
    <cellStyle name="Followed Hyperlink" xfId="19"/>
    <cellStyle name="Hyperlink" xfId="20"/>
    <cellStyle name="Normal_ACE Financial Supplement March 2004" xfId="21"/>
    <cellStyle name="Normal_ACFS1204" xfId="22"/>
    <cellStyle name="Normal_EPS" xfId="23"/>
    <cellStyle name="Normal_INCSTMT" xfId="24"/>
    <cellStyle name="Normal_SHEQ" xfId="25"/>
    <cellStyle name="Percent" xfId="26"/>
  </cellStyles>
  <dxfs count="3">
    <dxf>
      <font>
        <color rgb="FFFFFFFF"/>
      </font>
      <fill>
        <patternFill>
          <bgColor rgb="FF0000FF"/>
        </patternFill>
      </fill>
      <border/>
    </dxf>
    <dxf>
      <font>
        <color rgb="FFFF0000"/>
      </font>
      <border/>
    </dxf>
    <dxf>
      <font>
        <b/>
        <i/>
        <color rgb="FFFFFFFF"/>
      </font>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s>
</file>

<file path=xl/drawings/_rels/drawing2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3.xml.rels><?xml version="1.0" encoding="utf-8" standalone="yes"?><Relationships xmlns="http://schemas.openxmlformats.org/package/2006/relationships"><Relationship Id="rId1" Type="http://schemas.openxmlformats.org/officeDocument/2006/relationships/image" Target="../media/image1.png" /></Relationships>
</file>

<file path=xl/drawings/_rels/drawing24.xml.rels><?xml version="1.0" encoding="utf-8" standalone="yes"?><Relationships xmlns="http://schemas.openxmlformats.org/package/2006/relationships"><Relationship Id="rId1" Type="http://schemas.openxmlformats.org/officeDocument/2006/relationships/image" Target="../media/image1.png" /></Relationships>
</file>

<file path=xl/drawings/_rels/drawing25.xml.rels><?xml version="1.0" encoding="utf-8" standalone="yes"?><Relationships xmlns="http://schemas.openxmlformats.org/package/2006/relationships"><Relationship Id="rId1" Type="http://schemas.openxmlformats.org/officeDocument/2006/relationships/image" Target="../media/image1.png" /></Relationships>
</file>

<file path=xl/drawings/_rels/drawing26.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9525</xdr:rowOff>
    </xdr:from>
    <xdr:to>
      <xdr:col>2</xdr:col>
      <xdr:colOff>295275</xdr:colOff>
      <xdr:row>14</xdr:row>
      <xdr:rowOff>47625</xdr:rowOff>
    </xdr:to>
    <xdr:sp>
      <xdr:nvSpPr>
        <xdr:cNvPr id="1" name="Rectangle 2"/>
        <xdr:cNvSpPr>
          <a:spLocks/>
        </xdr:cNvSpPr>
      </xdr:nvSpPr>
      <xdr:spPr>
        <a:xfrm>
          <a:off x="0" y="1476375"/>
          <a:ext cx="1133475" cy="1181100"/>
        </a:xfrm>
        <a:prstGeom prst="rect">
          <a:avLst/>
        </a:prstGeom>
        <a:solidFill>
          <a:srgbClr val="7FBA00"/>
        </a:solid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238125</xdr:colOff>
      <xdr:row>14</xdr:row>
      <xdr:rowOff>47625</xdr:rowOff>
    </xdr:from>
    <xdr:to>
      <xdr:col>2</xdr:col>
      <xdr:colOff>676275</xdr:colOff>
      <xdr:row>19</xdr:row>
      <xdr:rowOff>0</xdr:rowOff>
    </xdr:to>
    <xdr:sp>
      <xdr:nvSpPr>
        <xdr:cNvPr id="2" name="Rectangle 3"/>
        <xdr:cNvSpPr>
          <a:spLocks/>
        </xdr:cNvSpPr>
      </xdr:nvSpPr>
      <xdr:spPr>
        <a:xfrm>
          <a:off x="752475" y="2657475"/>
          <a:ext cx="762000" cy="1114425"/>
        </a:xfrm>
        <a:prstGeom prst="rect">
          <a:avLst/>
        </a:prstGeom>
        <a:solidFill>
          <a:srgbClr val="003F87"/>
        </a:solid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editAs="oneCell">
    <xdr:from>
      <xdr:col>0</xdr:col>
      <xdr:colOff>238125</xdr:colOff>
      <xdr:row>0</xdr:row>
      <xdr:rowOff>152400</xdr:rowOff>
    </xdr:from>
    <xdr:to>
      <xdr:col>2</xdr:col>
      <xdr:colOff>1162050</xdr:colOff>
      <xdr:row>6</xdr:row>
      <xdr:rowOff>66675</xdr:rowOff>
    </xdr:to>
    <xdr:pic>
      <xdr:nvPicPr>
        <xdr:cNvPr id="3" name="Picture 8"/>
        <xdr:cNvPicPr preferRelativeResize="1">
          <a:picLocks noChangeAspect="1"/>
        </xdr:cNvPicPr>
      </xdr:nvPicPr>
      <xdr:blipFill>
        <a:blip r:embed="rId1"/>
        <a:srcRect l="6311" t="11895"/>
        <a:stretch>
          <a:fillRect/>
        </a:stretch>
      </xdr:blipFill>
      <xdr:spPr>
        <a:xfrm>
          <a:off x="238125" y="152400"/>
          <a:ext cx="1762125" cy="885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2</xdr:col>
      <xdr:colOff>457200</xdr:colOff>
      <xdr:row>4</xdr:row>
      <xdr:rowOff>57150</xdr:rowOff>
    </xdr:to>
    <xdr:pic>
      <xdr:nvPicPr>
        <xdr:cNvPr id="1" name="Picture 2"/>
        <xdr:cNvPicPr preferRelativeResize="1">
          <a:picLocks noChangeAspect="1"/>
        </xdr:cNvPicPr>
      </xdr:nvPicPr>
      <xdr:blipFill>
        <a:blip r:embed="rId1"/>
        <a:srcRect l="15563" t="15953" b="-389"/>
        <a:stretch>
          <a:fillRect/>
        </a:stretch>
      </xdr:blipFill>
      <xdr:spPr>
        <a:xfrm>
          <a:off x="190500" y="0"/>
          <a:ext cx="647700" cy="6762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0</xdr:row>
      <xdr:rowOff>0</xdr:rowOff>
    </xdr:from>
    <xdr:to>
      <xdr:col>2</xdr:col>
      <xdr:colOff>447675</xdr:colOff>
      <xdr:row>4</xdr:row>
      <xdr:rowOff>57150</xdr:rowOff>
    </xdr:to>
    <xdr:pic>
      <xdr:nvPicPr>
        <xdr:cNvPr id="1" name="Picture 4"/>
        <xdr:cNvPicPr preferRelativeResize="1">
          <a:picLocks noChangeAspect="1"/>
        </xdr:cNvPicPr>
      </xdr:nvPicPr>
      <xdr:blipFill>
        <a:blip r:embed="rId1"/>
        <a:srcRect l="15563" t="15953" b="-389"/>
        <a:stretch>
          <a:fillRect/>
        </a:stretch>
      </xdr:blipFill>
      <xdr:spPr>
        <a:xfrm>
          <a:off x="180975" y="0"/>
          <a:ext cx="647700" cy="6762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0</xdr:row>
      <xdr:rowOff>0</xdr:rowOff>
    </xdr:from>
    <xdr:to>
      <xdr:col>2</xdr:col>
      <xdr:colOff>447675</xdr:colOff>
      <xdr:row>4</xdr:row>
      <xdr:rowOff>0</xdr:rowOff>
    </xdr:to>
    <xdr:pic>
      <xdr:nvPicPr>
        <xdr:cNvPr id="1" name="Picture 2"/>
        <xdr:cNvPicPr preferRelativeResize="1">
          <a:picLocks noChangeAspect="1"/>
        </xdr:cNvPicPr>
      </xdr:nvPicPr>
      <xdr:blipFill>
        <a:blip r:embed="rId1"/>
        <a:srcRect l="15563" t="15953" b="-389"/>
        <a:stretch>
          <a:fillRect/>
        </a:stretch>
      </xdr:blipFill>
      <xdr:spPr>
        <a:xfrm>
          <a:off x="180975" y="0"/>
          <a:ext cx="647700" cy="6191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0</xdr:row>
      <xdr:rowOff>0</xdr:rowOff>
    </xdr:from>
    <xdr:to>
      <xdr:col>2</xdr:col>
      <xdr:colOff>447675</xdr:colOff>
      <xdr:row>4</xdr:row>
      <xdr:rowOff>57150</xdr:rowOff>
    </xdr:to>
    <xdr:pic>
      <xdr:nvPicPr>
        <xdr:cNvPr id="1" name="Picture 2"/>
        <xdr:cNvPicPr preferRelativeResize="1">
          <a:picLocks noChangeAspect="1"/>
        </xdr:cNvPicPr>
      </xdr:nvPicPr>
      <xdr:blipFill>
        <a:blip r:embed="rId1"/>
        <a:srcRect l="15563" t="15953" b="-389"/>
        <a:stretch>
          <a:fillRect/>
        </a:stretch>
      </xdr:blipFill>
      <xdr:spPr>
        <a:xfrm>
          <a:off x="180975" y="0"/>
          <a:ext cx="647700" cy="6477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0</xdr:row>
      <xdr:rowOff>0</xdr:rowOff>
    </xdr:from>
    <xdr:to>
      <xdr:col>1</xdr:col>
      <xdr:colOff>638175</xdr:colOff>
      <xdr:row>4</xdr:row>
      <xdr:rowOff>9525</xdr:rowOff>
    </xdr:to>
    <xdr:pic>
      <xdr:nvPicPr>
        <xdr:cNvPr id="1" name="Picture 10"/>
        <xdr:cNvPicPr preferRelativeResize="1">
          <a:picLocks noChangeAspect="1"/>
        </xdr:cNvPicPr>
      </xdr:nvPicPr>
      <xdr:blipFill>
        <a:blip r:embed="rId1"/>
        <a:srcRect l="15563" t="15953" b="-389"/>
        <a:stretch>
          <a:fillRect/>
        </a:stretch>
      </xdr:blipFill>
      <xdr:spPr>
        <a:xfrm>
          <a:off x="180975" y="0"/>
          <a:ext cx="647700" cy="65722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0</xdr:row>
      <xdr:rowOff>0</xdr:rowOff>
    </xdr:from>
    <xdr:to>
      <xdr:col>2</xdr:col>
      <xdr:colOff>447675</xdr:colOff>
      <xdr:row>4</xdr:row>
      <xdr:rowOff>38100</xdr:rowOff>
    </xdr:to>
    <xdr:pic>
      <xdr:nvPicPr>
        <xdr:cNvPr id="1" name="Picture 4"/>
        <xdr:cNvPicPr preferRelativeResize="1">
          <a:picLocks noChangeAspect="1"/>
        </xdr:cNvPicPr>
      </xdr:nvPicPr>
      <xdr:blipFill>
        <a:blip r:embed="rId1"/>
        <a:srcRect l="15563" t="15953" b="-389"/>
        <a:stretch>
          <a:fillRect/>
        </a:stretch>
      </xdr:blipFill>
      <xdr:spPr>
        <a:xfrm>
          <a:off x="180975" y="0"/>
          <a:ext cx="647700" cy="64770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0</xdr:row>
      <xdr:rowOff>0</xdr:rowOff>
    </xdr:from>
    <xdr:to>
      <xdr:col>2</xdr:col>
      <xdr:colOff>447675</xdr:colOff>
      <xdr:row>3</xdr:row>
      <xdr:rowOff>104775</xdr:rowOff>
    </xdr:to>
    <xdr:pic>
      <xdr:nvPicPr>
        <xdr:cNvPr id="1" name="Picture 13"/>
        <xdr:cNvPicPr preferRelativeResize="1">
          <a:picLocks noChangeAspect="1"/>
        </xdr:cNvPicPr>
      </xdr:nvPicPr>
      <xdr:blipFill>
        <a:blip r:embed="rId1"/>
        <a:srcRect l="15563" t="15953" b="-389"/>
        <a:stretch>
          <a:fillRect/>
        </a:stretch>
      </xdr:blipFill>
      <xdr:spPr>
        <a:xfrm>
          <a:off x="180975" y="0"/>
          <a:ext cx="647700" cy="64770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0</xdr:row>
      <xdr:rowOff>0</xdr:rowOff>
    </xdr:from>
    <xdr:to>
      <xdr:col>2</xdr:col>
      <xdr:colOff>447675</xdr:colOff>
      <xdr:row>3</xdr:row>
      <xdr:rowOff>104775</xdr:rowOff>
    </xdr:to>
    <xdr:pic>
      <xdr:nvPicPr>
        <xdr:cNvPr id="1" name="Picture 36"/>
        <xdr:cNvPicPr preferRelativeResize="1">
          <a:picLocks noChangeAspect="1"/>
        </xdr:cNvPicPr>
      </xdr:nvPicPr>
      <xdr:blipFill>
        <a:blip r:embed="rId1"/>
        <a:srcRect l="15563" t="15953" b="-389"/>
        <a:stretch>
          <a:fillRect/>
        </a:stretch>
      </xdr:blipFill>
      <xdr:spPr>
        <a:xfrm>
          <a:off x="180975" y="0"/>
          <a:ext cx="647700" cy="64770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0</xdr:row>
      <xdr:rowOff>0</xdr:rowOff>
    </xdr:from>
    <xdr:to>
      <xdr:col>2</xdr:col>
      <xdr:colOff>447675</xdr:colOff>
      <xdr:row>4</xdr:row>
      <xdr:rowOff>38100</xdr:rowOff>
    </xdr:to>
    <xdr:pic>
      <xdr:nvPicPr>
        <xdr:cNvPr id="1" name="Picture 4"/>
        <xdr:cNvPicPr preferRelativeResize="1">
          <a:picLocks noChangeAspect="1"/>
        </xdr:cNvPicPr>
      </xdr:nvPicPr>
      <xdr:blipFill>
        <a:blip r:embed="rId1"/>
        <a:srcRect l="15563" t="15953" b="-389"/>
        <a:stretch>
          <a:fillRect/>
        </a:stretch>
      </xdr:blipFill>
      <xdr:spPr>
        <a:xfrm>
          <a:off x="180975" y="0"/>
          <a:ext cx="647700" cy="647700"/>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0</xdr:rowOff>
    </xdr:from>
    <xdr:to>
      <xdr:col>2</xdr:col>
      <xdr:colOff>447675</xdr:colOff>
      <xdr:row>4</xdr:row>
      <xdr:rowOff>0</xdr:rowOff>
    </xdr:to>
    <xdr:pic>
      <xdr:nvPicPr>
        <xdr:cNvPr id="1" name="Picture 9"/>
        <xdr:cNvPicPr preferRelativeResize="1">
          <a:picLocks noChangeAspect="1"/>
        </xdr:cNvPicPr>
      </xdr:nvPicPr>
      <xdr:blipFill>
        <a:blip r:embed="rId1"/>
        <a:srcRect l="15563" t="15953" b="-389"/>
        <a:stretch>
          <a:fillRect/>
        </a:stretch>
      </xdr:blipFill>
      <xdr:spPr>
        <a:xfrm>
          <a:off x="152400" y="0"/>
          <a:ext cx="647700" cy="647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0</xdr:row>
      <xdr:rowOff>0</xdr:rowOff>
    </xdr:from>
    <xdr:to>
      <xdr:col>1</xdr:col>
      <xdr:colOff>638175</xdr:colOff>
      <xdr:row>4</xdr:row>
      <xdr:rowOff>38100</xdr:rowOff>
    </xdr:to>
    <xdr:pic>
      <xdr:nvPicPr>
        <xdr:cNvPr id="1" name="Picture 2"/>
        <xdr:cNvPicPr preferRelativeResize="1">
          <a:picLocks noChangeAspect="1"/>
        </xdr:cNvPicPr>
      </xdr:nvPicPr>
      <xdr:blipFill>
        <a:blip r:embed="rId1"/>
        <a:srcRect l="15563" t="15953" b="-389"/>
        <a:stretch>
          <a:fillRect/>
        </a:stretch>
      </xdr:blipFill>
      <xdr:spPr>
        <a:xfrm>
          <a:off x="180975" y="0"/>
          <a:ext cx="647700" cy="666750"/>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0</xdr:rowOff>
    </xdr:from>
    <xdr:to>
      <xdr:col>2</xdr:col>
      <xdr:colOff>304800</xdr:colOff>
      <xdr:row>4</xdr:row>
      <xdr:rowOff>0</xdr:rowOff>
    </xdr:to>
    <xdr:pic>
      <xdr:nvPicPr>
        <xdr:cNvPr id="1" name="Picture 2"/>
        <xdr:cNvPicPr preferRelativeResize="1">
          <a:picLocks noChangeAspect="1"/>
        </xdr:cNvPicPr>
      </xdr:nvPicPr>
      <xdr:blipFill>
        <a:blip r:embed="rId1"/>
        <a:srcRect l="15563" t="15953" b="-389"/>
        <a:stretch>
          <a:fillRect/>
        </a:stretch>
      </xdr:blipFill>
      <xdr:spPr>
        <a:xfrm>
          <a:off x="152400" y="0"/>
          <a:ext cx="647700" cy="647700"/>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0</xdr:rowOff>
    </xdr:from>
    <xdr:to>
      <xdr:col>2</xdr:col>
      <xdr:colOff>457200</xdr:colOff>
      <xdr:row>4</xdr:row>
      <xdr:rowOff>57150</xdr:rowOff>
    </xdr:to>
    <xdr:pic>
      <xdr:nvPicPr>
        <xdr:cNvPr id="1" name="Picture 5"/>
        <xdr:cNvPicPr preferRelativeResize="1">
          <a:picLocks noChangeAspect="1"/>
        </xdr:cNvPicPr>
      </xdr:nvPicPr>
      <xdr:blipFill>
        <a:blip r:embed="rId1"/>
        <a:srcRect l="15563" t="15953" b="-389"/>
        <a:stretch>
          <a:fillRect/>
        </a:stretch>
      </xdr:blipFill>
      <xdr:spPr>
        <a:xfrm>
          <a:off x="152400" y="0"/>
          <a:ext cx="647700" cy="647700"/>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0</xdr:rowOff>
    </xdr:from>
    <xdr:to>
      <xdr:col>2</xdr:col>
      <xdr:colOff>447675</xdr:colOff>
      <xdr:row>4</xdr:row>
      <xdr:rowOff>0</xdr:rowOff>
    </xdr:to>
    <xdr:pic>
      <xdr:nvPicPr>
        <xdr:cNvPr id="1" name="Picture 12"/>
        <xdr:cNvPicPr preferRelativeResize="1">
          <a:picLocks noChangeAspect="1"/>
        </xdr:cNvPicPr>
      </xdr:nvPicPr>
      <xdr:blipFill>
        <a:blip r:embed="rId1"/>
        <a:srcRect l="15563" t="15953" b="-389"/>
        <a:stretch>
          <a:fillRect/>
        </a:stretch>
      </xdr:blipFill>
      <xdr:spPr>
        <a:xfrm>
          <a:off x="152400" y="0"/>
          <a:ext cx="647700" cy="647700"/>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0</xdr:rowOff>
    </xdr:from>
    <xdr:to>
      <xdr:col>2</xdr:col>
      <xdr:colOff>476250</xdr:colOff>
      <xdr:row>4</xdr:row>
      <xdr:rowOff>9525</xdr:rowOff>
    </xdr:to>
    <xdr:pic>
      <xdr:nvPicPr>
        <xdr:cNvPr id="1" name="Picture 8"/>
        <xdr:cNvPicPr preferRelativeResize="1">
          <a:picLocks noChangeAspect="1"/>
        </xdr:cNvPicPr>
      </xdr:nvPicPr>
      <xdr:blipFill>
        <a:blip r:embed="rId1"/>
        <a:srcRect l="15563" t="15953" b="-389"/>
        <a:stretch>
          <a:fillRect/>
        </a:stretch>
      </xdr:blipFill>
      <xdr:spPr>
        <a:xfrm>
          <a:off x="152400" y="0"/>
          <a:ext cx="647700" cy="657225"/>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0</xdr:rowOff>
    </xdr:from>
    <xdr:to>
      <xdr:col>2</xdr:col>
      <xdr:colOff>323850</xdr:colOff>
      <xdr:row>4</xdr:row>
      <xdr:rowOff>19050</xdr:rowOff>
    </xdr:to>
    <xdr:pic>
      <xdr:nvPicPr>
        <xdr:cNvPr id="1" name="Picture 6"/>
        <xdr:cNvPicPr preferRelativeResize="1">
          <a:picLocks noChangeAspect="1"/>
        </xdr:cNvPicPr>
      </xdr:nvPicPr>
      <xdr:blipFill>
        <a:blip r:embed="rId1"/>
        <a:srcRect l="15563" t="15953" b="-389"/>
        <a:stretch>
          <a:fillRect/>
        </a:stretch>
      </xdr:blipFill>
      <xdr:spPr>
        <a:xfrm>
          <a:off x="152400" y="0"/>
          <a:ext cx="647700" cy="657225"/>
        </a:xfrm>
        <a:prstGeom prst="rect">
          <a:avLst/>
        </a:prstGeom>
        <a:noFill/>
        <a:ln w="9525" cmpd="sng">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0</xdr:rowOff>
    </xdr:from>
    <xdr:to>
      <xdr:col>2</xdr:col>
      <xdr:colOff>428625</xdr:colOff>
      <xdr:row>4</xdr:row>
      <xdr:rowOff>0</xdr:rowOff>
    </xdr:to>
    <xdr:pic>
      <xdr:nvPicPr>
        <xdr:cNvPr id="1" name="Picture 41"/>
        <xdr:cNvPicPr preferRelativeResize="1">
          <a:picLocks noChangeAspect="1"/>
        </xdr:cNvPicPr>
      </xdr:nvPicPr>
      <xdr:blipFill>
        <a:blip r:embed="rId1"/>
        <a:srcRect l="15563" t="15953" b="-389"/>
        <a:stretch>
          <a:fillRect/>
        </a:stretch>
      </xdr:blipFill>
      <xdr:spPr>
        <a:xfrm>
          <a:off x="152400" y="0"/>
          <a:ext cx="647700" cy="647700"/>
        </a:xfrm>
        <a:prstGeom prst="rect">
          <a:avLst/>
        </a:prstGeom>
        <a:noFill/>
        <a:ln w="9525" cmpd="sng">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0</xdr:rowOff>
    </xdr:from>
    <xdr:to>
      <xdr:col>1</xdr:col>
      <xdr:colOff>638175</xdr:colOff>
      <xdr:row>4</xdr:row>
      <xdr:rowOff>57150</xdr:rowOff>
    </xdr:to>
    <xdr:pic>
      <xdr:nvPicPr>
        <xdr:cNvPr id="1" name="Picture 4"/>
        <xdr:cNvPicPr preferRelativeResize="1">
          <a:picLocks noChangeAspect="1"/>
        </xdr:cNvPicPr>
      </xdr:nvPicPr>
      <xdr:blipFill>
        <a:blip r:embed="rId1"/>
        <a:srcRect l="15563" t="15953" b="-389"/>
        <a:stretch>
          <a:fillRect/>
        </a:stretch>
      </xdr:blipFill>
      <xdr:spPr>
        <a:xfrm>
          <a:off x="152400" y="0"/>
          <a:ext cx="647700" cy="6762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0</xdr:row>
      <xdr:rowOff>0</xdr:rowOff>
    </xdr:from>
    <xdr:to>
      <xdr:col>2</xdr:col>
      <xdr:colOff>476250</xdr:colOff>
      <xdr:row>4</xdr:row>
      <xdr:rowOff>57150</xdr:rowOff>
    </xdr:to>
    <xdr:pic>
      <xdr:nvPicPr>
        <xdr:cNvPr id="1" name="Picture 39"/>
        <xdr:cNvPicPr preferRelativeResize="1">
          <a:picLocks noChangeAspect="1"/>
        </xdr:cNvPicPr>
      </xdr:nvPicPr>
      <xdr:blipFill>
        <a:blip r:embed="rId1"/>
        <a:srcRect l="15563" t="15953" b="-389"/>
        <a:stretch>
          <a:fillRect/>
        </a:stretch>
      </xdr:blipFill>
      <xdr:spPr>
        <a:xfrm>
          <a:off x="180975" y="0"/>
          <a:ext cx="647700" cy="6477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0</xdr:rowOff>
    </xdr:from>
    <xdr:to>
      <xdr:col>2</xdr:col>
      <xdr:colOff>447675</xdr:colOff>
      <xdr:row>4</xdr:row>
      <xdr:rowOff>0</xdr:rowOff>
    </xdr:to>
    <xdr:pic>
      <xdr:nvPicPr>
        <xdr:cNvPr id="1" name="Picture 43"/>
        <xdr:cNvPicPr preferRelativeResize="1">
          <a:picLocks noChangeAspect="1"/>
        </xdr:cNvPicPr>
      </xdr:nvPicPr>
      <xdr:blipFill>
        <a:blip r:embed="rId1"/>
        <a:srcRect l="15563" t="15953" b="-389"/>
        <a:stretch>
          <a:fillRect/>
        </a:stretch>
      </xdr:blipFill>
      <xdr:spPr>
        <a:xfrm>
          <a:off x="95250" y="0"/>
          <a:ext cx="647700" cy="6477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2</xdr:col>
      <xdr:colOff>457200</xdr:colOff>
      <xdr:row>4</xdr:row>
      <xdr:rowOff>85725</xdr:rowOff>
    </xdr:to>
    <xdr:pic>
      <xdr:nvPicPr>
        <xdr:cNvPr id="1" name="Picture 11"/>
        <xdr:cNvPicPr preferRelativeResize="1">
          <a:picLocks noChangeAspect="1"/>
        </xdr:cNvPicPr>
      </xdr:nvPicPr>
      <xdr:blipFill>
        <a:blip r:embed="rId1"/>
        <a:srcRect l="15563" t="15953" b="-389"/>
        <a:stretch>
          <a:fillRect/>
        </a:stretch>
      </xdr:blipFill>
      <xdr:spPr>
        <a:xfrm>
          <a:off x="190500" y="0"/>
          <a:ext cx="647700" cy="6477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0</xdr:row>
      <xdr:rowOff>0</xdr:rowOff>
    </xdr:from>
    <xdr:to>
      <xdr:col>2</xdr:col>
      <xdr:colOff>447675</xdr:colOff>
      <xdr:row>4</xdr:row>
      <xdr:rowOff>57150</xdr:rowOff>
    </xdr:to>
    <xdr:pic>
      <xdr:nvPicPr>
        <xdr:cNvPr id="1" name="Picture 6"/>
        <xdr:cNvPicPr preferRelativeResize="1">
          <a:picLocks noChangeAspect="1"/>
        </xdr:cNvPicPr>
      </xdr:nvPicPr>
      <xdr:blipFill>
        <a:blip r:embed="rId1"/>
        <a:srcRect l="15563" t="15953" b="-389"/>
        <a:stretch>
          <a:fillRect/>
        </a:stretch>
      </xdr:blipFill>
      <xdr:spPr>
        <a:xfrm>
          <a:off x="180975" y="0"/>
          <a:ext cx="647700" cy="6477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0</xdr:row>
      <xdr:rowOff>0</xdr:rowOff>
    </xdr:from>
    <xdr:to>
      <xdr:col>2</xdr:col>
      <xdr:colOff>447675</xdr:colOff>
      <xdr:row>4</xdr:row>
      <xdr:rowOff>57150</xdr:rowOff>
    </xdr:to>
    <xdr:pic>
      <xdr:nvPicPr>
        <xdr:cNvPr id="1" name="Picture 21"/>
        <xdr:cNvPicPr preferRelativeResize="1">
          <a:picLocks noChangeAspect="1"/>
        </xdr:cNvPicPr>
      </xdr:nvPicPr>
      <xdr:blipFill>
        <a:blip r:embed="rId1"/>
        <a:srcRect l="15563" t="15953" b="-389"/>
        <a:stretch>
          <a:fillRect/>
        </a:stretch>
      </xdr:blipFill>
      <xdr:spPr>
        <a:xfrm>
          <a:off x="180975" y="0"/>
          <a:ext cx="647700" cy="6762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0</xdr:row>
      <xdr:rowOff>0</xdr:rowOff>
    </xdr:from>
    <xdr:to>
      <xdr:col>2</xdr:col>
      <xdr:colOff>447675</xdr:colOff>
      <xdr:row>4</xdr:row>
      <xdr:rowOff>57150</xdr:rowOff>
    </xdr:to>
    <xdr:pic>
      <xdr:nvPicPr>
        <xdr:cNvPr id="1" name="Picture 2"/>
        <xdr:cNvPicPr preferRelativeResize="1">
          <a:picLocks noChangeAspect="1"/>
        </xdr:cNvPicPr>
      </xdr:nvPicPr>
      <xdr:blipFill>
        <a:blip r:embed="rId1"/>
        <a:srcRect l="15563" t="15953" b="-389"/>
        <a:stretch>
          <a:fillRect/>
        </a:stretch>
      </xdr:blipFill>
      <xdr:spPr>
        <a:xfrm>
          <a:off x="180975" y="0"/>
          <a:ext cx="647700" cy="6762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0</xdr:row>
      <xdr:rowOff>0</xdr:rowOff>
    </xdr:from>
    <xdr:to>
      <xdr:col>2</xdr:col>
      <xdr:colOff>447675</xdr:colOff>
      <xdr:row>4</xdr:row>
      <xdr:rowOff>57150</xdr:rowOff>
    </xdr:to>
    <xdr:pic>
      <xdr:nvPicPr>
        <xdr:cNvPr id="1" name="Picture 13"/>
        <xdr:cNvPicPr preferRelativeResize="1">
          <a:picLocks noChangeAspect="1"/>
        </xdr:cNvPicPr>
      </xdr:nvPicPr>
      <xdr:blipFill>
        <a:blip r:embed="rId1"/>
        <a:srcRect l="15563" t="15953" b="-389"/>
        <a:stretch>
          <a:fillRect/>
        </a:stretch>
      </xdr:blipFill>
      <xdr:spPr>
        <a:xfrm>
          <a:off x="180975" y="0"/>
          <a:ext cx="647700" cy="676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S36"/>
  <sheetViews>
    <sheetView tabSelected="1" workbookViewId="0" topLeftCell="A1">
      <selection activeCell="K20" sqref="K20"/>
    </sheetView>
  </sheetViews>
  <sheetFormatPr defaultColWidth="9.33203125" defaultRowHeight="12.75"/>
  <cols>
    <col min="1" max="1" width="9" style="52" customWidth="1"/>
    <col min="2" max="2" width="5.66015625" style="52" customWidth="1"/>
    <col min="3" max="3" width="23.33203125" style="52" customWidth="1"/>
    <col min="4" max="8" width="9" style="52" customWidth="1"/>
    <col min="9" max="9" width="11" style="52" customWidth="1"/>
    <col min="10" max="10" width="11.16015625" style="52" customWidth="1"/>
    <col min="11" max="14" width="9" style="52" customWidth="1"/>
    <col min="15" max="15" width="1.83203125" style="52" customWidth="1"/>
    <col min="16" max="16384" width="9" style="52" customWidth="1"/>
  </cols>
  <sheetData>
    <row r="1" spans="1:10" ht="12.75">
      <c r="A1" s="52" t="s">
        <v>200</v>
      </c>
      <c r="J1" s="92"/>
    </row>
    <row r="2" ht="12.75">
      <c r="J2" s="92"/>
    </row>
    <row r="3" ht="12.75"/>
    <row r="4" ht="12.75"/>
    <row r="5" ht="12.75"/>
    <row r="6" spans="7:12" ht="12.75">
      <c r="G6" s="230"/>
      <c r="I6" s="92"/>
      <c r="J6" s="92"/>
      <c r="K6" s="92"/>
      <c r="L6" s="92"/>
    </row>
    <row r="7" ht="12.75">
      <c r="K7" s="3"/>
    </row>
    <row r="8" spans="7:10" ht="26.25">
      <c r="G8" s="92"/>
      <c r="H8" s="571"/>
      <c r="I8" s="572"/>
      <c r="J8" s="512"/>
    </row>
    <row r="9" spans="8:14" ht="22.5" customHeight="1">
      <c r="H9" s="571"/>
      <c r="J9"/>
      <c r="K9"/>
      <c r="L9"/>
      <c r="M9"/>
      <c r="N9"/>
    </row>
    <row r="10" spans="6:10" ht="16.5" customHeight="1">
      <c r="F10" s="144"/>
      <c r="G10" s="92"/>
      <c r="H10" s="92"/>
      <c r="J10" s="145"/>
    </row>
    <row r="12" spans="3:10" ht="12.75">
      <c r="C12" s="145"/>
      <c r="D12" s="145"/>
      <c r="E12" s="145"/>
      <c r="F12" s="145"/>
      <c r="G12" s="145"/>
      <c r="H12" s="145"/>
      <c r="I12" s="145"/>
      <c r="J12" s="145"/>
    </row>
    <row r="13" spans="3:11" ht="12.75">
      <c r="C13" s="146"/>
      <c r="D13" s="146"/>
      <c r="E13" s="146"/>
      <c r="F13" s="146"/>
      <c r="G13" s="146"/>
      <c r="H13" s="146"/>
      <c r="I13" s="146"/>
      <c r="K13" s="145"/>
    </row>
    <row r="14" spans="3:11" ht="12.75">
      <c r="C14" s="146"/>
      <c r="D14" s="146"/>
      <c r="E14" s="146"/>
      <c r="F14" s="147"/>
      <c r="G14" s="146"/>
      <c r="H14" s="146"/>
      <c r="I14" s="146"/>
      <c r="K14" s="145"/>
    </row>
    <row r="15" spans="3:11" ht="23.25">
      <c r="C15" s="146"/>
      <c r="D15" s="148" t="s">
        <v>355</v>
      </c>
      <c r="E15" s="146"/>
      <c r="F15" s="146"/>
      <c r="G15" s="146"/>
      <c r="H15" s="146"/>
      <c r="I15" s="146"/>
      <c r="K15" s="145"/>
    </row>
    <row r="16" spans="3:14" ht="12.75">
      <c r="C16" s="146"/>
      <c r="D16" s="146"/>
      <c r="E16" s="146"/>
      <c r="F16" s="146"/>
      <c r="G16" s="146"/>
      <c r="H16" s="146"/>
      <c r="I16" s="146"/>
      <c r="M16" s="145"/>
      <c r="N16" s="149"/>
    </row>
    <row r="17" spans="3:10" ht="12.75">
      <c r="C17" s="145"/>
      <c r="D17" s="145"/>
      <c r="E17" s="145"/>
      <c r="F17" s="145"/>
      <c r="G17" s="145"/>
      <c r="H17" s="145"/>
      <c r="I17" s="145"/>
      <c r="J17" s="577"/>
    </row>
    <row r="18" spans="4:11" ht="15.75">
      <c r="D18" s="150" t="s">
        <v>438</v>
      </c>
      <c r="K18" s="576"/>
    </row>
    <row r="19" ht="27" customHeight="1">
      <c r="D19" s="246"/>
    </row>
    <row r="20" ht="27" customHeight="1">
      <c r="D20" s="151"/>
    </row>
    <row r="21" ht="27" customHeight="1">
      <c r="D21" s="151"/>
    </row>
    <row r="22" ht="12" customHeight="1">
      <c r="D22" s="151"/>
    </row>
    <row r="23" spans="1:16" ht="12.75" customHeight="1">
      <c r="A23" s="618" t="s">
        <v>230</v>
      </c>
      <c r="B23" s="619"/>
      <c r="D23" s="613" t="s">
        <v>340</v>
      </c>
      <c r="E23" s="614"/>
      <c r="F23" s="614"/>
      <c r="G23" s="614"/>
      <c r="H23" s="614"/>
      <c r="I23" s="614"/>
      <c r="J23" s="614"/>
      <c r="K23" s="614"/>
      <c r="L23" s="614"/>
      <c r="M23" s="614"/>
      <c r="N23" s="614"/>
      <c r="O23" s="152"/>
      <c r="P23" s="23"/>
    </row>
    <row r="24" spans="1:15" ht="14.25" customHeight="1">
      <c r="A24" s="620" t="s">
        <v>70</v>
      </c>
      <c r="B24" s="620"/>
      <c r="C24" s="620"/>
      <c r="D24" s="614"/>
      <c r="E24" s="614"/>
      <c r="F24" s="614"/>
      <c r="G24" s="614"/>
      <c r="H24" s="614"/>
      <c r="I24" s="614"/>
      <c r="J24" s="614"/>
      <c r="K24" s="614"/>
      <c r="L24" s="614"/>
      <c r="M24" s="614"/>
      <c r="N24" s="614"/>
      <c r="O24" s="152"/>
    </row>
    <row r="25" spans="1:17" ht="12.75" customHeight="1">
      <c r="A25" s="95" t="s">
        <v>214</v>
      </c>
      <c r="B25" s="158"/>
      <c r="C25" s="158"/>
      <c r="D25" s="615"/>
      <c r="E25" s="615"/>
      <c r="F25" s="615"/>
      <c r="G25" s="615"/>
      <c r="H25" s="615"/>
      <c r="I25" s="615"/>
      <c r="J25" s="615"/>
      <c r="K25" s="615"/>
      <c r="L25" s="615"/>
      <c r="M25" s="615"/>
      <c r="N25" s="615"/>
      <c r="P25" s="71"/>
      <c r="Q25" s="71"/>
    </row>
    <row r="26" spans="1:17" ht="12.75" customHeight="1">
      <c r="A26" s="95" t="s">
        <v>213</v>
      </c>
      <c r="B26" s="158"/>
      <c r="C26" s="158"/>
      <c r="D26" s="71"/>
      <c r="E26" s="71"/>
      <c r="F26" s="71"/>
      <c r="G26" s="71"/>
      <c r="H26" s="71"/>
      <c r="I26" s="71"/>
      <c r="J26" s="71"/>
      <c r="K26" s="71"/>
      <c r="L26" s="71"/>
      <c r="M26" s="71"/>
      <c r="N26" s="71"/>
      <c r="P26" s="71"/>
      <c r="Q26" s="71"/>
    </row>
    <row r="27" spans="1:17" ht="10.5" customHeight="1">
      <c r="A27" s="95" t="s">
        <v>215</v>
      </c>
      <c r="B27" s="158"/>
      <c r="C27" s="158"/>
      <c r="D27" s="621" t="s">
        <v>68</v>
      </c>
      <c r="E27" s="621"/>
      <c r="F27" s="621"/>
      <c r="G27" s="621"/>
      <c r="H27" s="621"/>
      <c r="I27" s="621"/>
      <c r="J27" s="621"/>
      <c r="K27" s="66"/>
      <c r="L27" s="66"/>
      <c r="M27" s="66"/>
      <c r="N27" s="66"/>
      <c r="O27" s="66"/>
      <c r="P27" s="66"/>
      <c r="Q27" s="66"/>
    </row>
    <row r="28" spans="4:17" ht="48" customHeight="1">
      <c r="D28" s="616" t="s">
        <v>530</v>
      </c>
      <c r="E28" s="616"/>
      <c r="F28" s="616"/>
      <c r="G28" s="616"/>
      <c r="H28" s="616"/>
      <c r="I28" s="616"/>
      <c r="J28" s="616"/>
      <c r="K28" s="616"/>
      <c r="L28" s="616"/>
      <c r="M28" s="616"/>
      <c r="N28" s="616"/>
      <c r="O28" s="71"/>
      <c r="P28" s="71"/>
      <c r="Q28" s="71"/>
    </row>
    <row r="29" spans="4:17" ht="38.25" customHeight="1">
      <c r="D29" s="616" t="s">
        <v>292</v>
      </c>
      <c r="E29" s="616"/>
      <c r="F29" s="616"/>
      <c r="G29" s="616"/>
      <c r="H29" s="616"/>
      <c r="I29" s="616"/>
      <c r="J29" s="616"/>
      <c r="K29" s="616"/>
      <c r="L29" s="616"/>
      <c r="M29" s="616"/>
      <c r="N29" s="616"/>
      <c r="O29" s="71"/>
      <c r="P29" s="71"/>
      <c r="Q29" s="71"/>
    </row>
    <row r="30" spans="4:19" s="99" customFormat="1" ht="16.5" customHeight="1">
      <c r="D30" s="617"/>
      <c r="E30" s="617"/>
      <c r="F30" s="617"/>
      <c r="G30" s="617"/>
      <c r="H30" s="617"/>
      <c r="I30" s="617"/>
      <c r="J30" s="617"/>
      <c r="K30" s="617"/>
      <c r="L30" s="617"/>
      <c r="M30" s="617"/>
      <c r="N30" s="617"/>
      <c r="O30" s="154"/>
      <c r="P30" s="35"/>
      <c r="Q30" s="35"/>
      <c r="R30" s="35"/>
      <c r="S30" s="35"/>
    </row>
    <row r="31" spans="4:19" s="99" customFormat="1" ht="12.75" customHeight="1">
      <c r="D31" s="52"/>
      <c r="E31" s="52"/>
      <c r="F31" s="52"/>
      <c r="G31" s="52"/>
      <c r="H31" s="52"/>
      <c r="I31" s="52"/>
      <c r="J31" s="52"/>
      <c r="K31" s="52"/>
      <c r="L31" s="52"/>
      <c r="M31" s="52"/>
      <c r="N31" s="52"/>
      <c r="O31" s="154"/>
      <c r="P31" s="35"/>
      <c r="Q31" s="35"/>
      <c r="R31" s="35"/>
      <c r="S31" s="35"/>
    </row>
    <row r="32" spans="4:19" s="99" customFormat="1" ht="12.75" customHeight="1">
      <c r="D32" s="52"/>
      <c r="E32" s="52"/>
      <c r="F32" s="52"/>
      <c r="G32" s="52"/>
      <c r="H32" s="52"/>
      <c r="I32" s="52"/>
      <c r="J32" s="52"/>
      <c r="K32" s="52"/>
      <c r="L32" s="52"/>
      <c r="M32" s="52"/>
      <c r="N32" s="52"/>
      <c r="O32" s="154"/>
      <c r="P32" s="35"/>
      <c r="Q32" s="35"/>
      <c r="R32" s="35"/>
      <c r="S32" s="35"/>
    </row>
    <row r="33" spans="1:19" s="99" customFormat="1" ht="12.75" customHeight="1">
      <c r="A33" s="76"/>
      <c r="B33" s="76"/>
      <c r="C33" s="76"/>
      <c r="D33" s="52"/>
      <c r="E33" s="52"/>
      <c r="F33" s="52"/>
      <c r="G33" s="52"/>
      <c r="H33" s="52"/>
      <c r="I33" s="52"/>
      <c r="J33" s="52"/>
      <c r="K33" s="52"/>
      <c r="L33" s="52"/>
      <c r="M33" s="52"/>
      <c r="N33" s="52"/>
      <c r="O33" s="154"/>
      <c r="P33" s="35"/>
      <c r="Q33" s="35"/>
      <c r="R33" s="35"/>
      <c r="S33" s="35"/>
    </row>
    <row r="34" spans="1:19" s="99" customFormat="1" ht="12.75" customHeight="1">
      <c r="A34" s="76"/>
      <c r="B34" s="76"/>
      <c r="C34" s="76"/>
      <c r="D34" s="52"/>
      <c r="E34" s="52"/>
      <c r="F34" s="52"/>
      <c r="G34" s="52"/>
      <c r="H34" s="52"/>
      <c r="I34" s="52"/>
      <c r="J34" s="52"/>
      <c r="K34" s="52"/>
      <c r="L34" s="52"/>
      <c r="M34" s="52"/>
      <c r="N34" s="52"/>
      <c r="O34" s="154"/>
      <c r="P34" s="35"/>
      <c r="Q34" s="35"/>
      <c r="R34" s="35"/>
      <c r="S34" s="35"/>
    </row>
    <row r="35" spans="1:19" s="99" customFormat="1" ht="12.75" customHeight="1">
      <c r="A35" s="76"/>
      <c r="B35" s="76"/>
      <c r="C35" s="76"/>
      <c r="D35" s="52"/>
      <c r="E35" s="52"/>
      <c r="F35" s="52"/>
      <c r="G35" s="52"/>
      <c r="H35" s="52"/>
      <c r="I35" s="52"/>
      <c r="J35" s="52"/>
      <c r="K35" s="52"/>
      <c r="L35" s="52"/>
      <c r="M35" s="52"/>
      <c r="N35" s="52"/>
      <c r="O35" s="154"/>
      <c r="P35" s="35"/>
      <c r="Q35" s="35"/>
      <c r="R35" s="35"/>
      <c r="S35" s="35"/>
    </row>
    <row r="36" spans="2:19" s="99" customFormat="1" ht="9" customHeight="1">
      <c r="B36" s="155"/>
      <c r="C36" s="153"/>
      <c r="D36" s="52"/>
      <c r="E36" s="52"/>
      <c r="F36" s="52"/>
      <c r="G36" s="52"/>
      <c r="H36" s="52"/>
      <c r="I36" s="52"/>
      <c r="J36" s="52"/>
      <c r="K36" s="52"/>
      <c r="L36" s="52"/>
      <c r="M36" s="52"/>
      <c r="N36" s="52"/>
      <c r="O36" s="66"/>
      <c r="P36" s="35"/>
      <c r="Q36" s="35"/>
      <c r="R36" s="35"/>
      <c r="S36" s="35"/>
    </row>
  </sheetData>
  <sheetProtection/>
  <mergeCells count="7">
    <mergeCell ref="D23:N25"/>
    <mergeCell ref="D28:N28"/>
    <mergeCell ref="D30:N30"/>
    <mergeCell ref="A23:B23"/>
    <mergeCell ref="A24:C24"/>
    <mergeCell ref="D27:J27"/>
    <mergeCell ref="D29:N29"/>
  </mergeCells>
  <printOptions/>
  <pageMargins left="0.5" right="0.5" top="0.5" bottom="0.55" header="0.75" footer="0.3"/>
  <pageSetup fitToHeight="1" fitToWidth="1" horizontalDpi="600" verticalDpi="600" orientation="landscape" r:id="rId3"/>
  <drawing r:id="rId2"/>
  <legacyDrawing r:id="rId1"/>
</worksheet>
</file>

<file path=xl/worksheets/sheet10.xml><?xml version="1.0" encoding="utf-8"?>
<worksheet xmlns="http://schemas.openxmlformats.org/spreadsheetml/2006/main" xmlns:r="http://schemas.openxmlformats.org/officeDocument/2006/relationships">
  <sheetPr codeName="Sheet19"/>
  <dimension ref="C1:S46"/>
  <sheetViews>
    <sheetView workbookViewId="0" topLeftCell="A1">
      <selection activeCell="A1" sqref="A1"/>
    </sheetView>
  </sheetViews>
  <sheetFormatPr defaultColWidth="9.33203125" defaultRowHeight="12.75"/>
  <cols>
    <col min="1" max="2" width="3.33203125" style="1" customWidth="1"/>
    <col min="3" max="3" width="42.5" style="1" customWidth="1"/>
    <col min="4" max="4" width="8.83203125" style="1" customWidth="1"/>
    <col min="5" max="5" width="2.33203125" style="1" customWidth="1"/>
    <col min="6" max="6" width="8.83203125" style="1" customWidth="1"/>
    <col min="7" max="7" width="2.33203125" style="1" customWidth="1"/>
    <col min="8" max="8" width="8.83203125" style="1" customWidth="1"/>
    <col min="9" max="9" width="2.33203125" style="1" customWidth="1"/>
    <col min="10" max="10" width="8.83203125" style="1" customWidth="1"/>
    <col min="11" max="11" width="2.33203125" style="1" customWidth="1"/>
    <col min="12" max="12" width="8.83203125" style="1" customWidth="1"/>
    <col min="13" max="13" width="2.33203125" style="1" customWidth="1"/>
    <col min="14" max="14" width="8.83203125" style="1" customWidth="1"/>
    <col min="15" max="15" width="2.33203125" style="7" customWidth="1"/>
    <col min="16" max="16" width="8.83203125" style="1" customWidth="1"/>
    <col min="17" max="17" width="2.33203125" style="1" customWidth="1"/>
    <col min="18" max="18" width="8.83203125" style="1" customWidth="1"/>
    <col min="19" max="19" width="4" style="7" customWidth="1"/>
    <col min="20" max="16384" width="9" style="1" customWidth="1"/>
  </cols>
  <sheetData>
    <row r="1" spans="3:19" ht="12.75">
      <c r="C1" s="626" t="s">
        <v>89</v>
      </c>
      <c r="D1" s="626"/>
      <c r="E1" s="626"/>
      <c r="F1" s="626"/>
      <c r="G1" s="626"/>
      <c r="H1" s="626"/>
      <c r="I1" s="626"/>
      <c r="J1" s="626"/>
      <c r="K1" s="626"/>
      <c r="L1" s="626"/>
      <c r="M1" s="626"/>
      <c r="N1" s="626"/>
      <c r="O1" s="626"/>
      <c r="P1" s="626"/>
      <c r="Q1" s="626"/>
      <c r="R1" s="626"/>
      <c r="S1" s="626"/>
    </row>
    <row r="2" spans="3:19" ht="12">
      <c r="C2" s="627" t="s">
        <v>75</v>
      </c>
      <c r="D2" s="627"/>
      <c r="E2" s="627"/>
      <c r="F2" s="627"/>
      <c r="G2" s="627"/>
      <c r="H2" s="627"/>
      <c r="I2" s="627"/>
      <c r="J2" s="627"/>
      <c r="K2" s="627"/>
      <c r="L2" s="627"/>
      <c r="M2" s="627"/>
      <c r="N2" s="627"/>
      <c r="O2" s="627"/>
      <c r="P2" s="627"/>
      <c r="Q2" s="627"/>
      <c r="R2" s="627"/>
      <c r="S2" s="627"/>
    </row>
    <row r="3" spans="3:19" ht="12">
      <c r="C3" s="602" t="s">
        <v>147</v>
      </c>
      <c r="D3" s="602"/>
      <c r="E3" s="602"/>
      <c r="F3" s="602"/>
      <c r="G3" s="602"/>
      <c r="H3" s="602"/>
      <c r="I3" s="602"/>
      <c r="J3" s="602"/>
      <c r="K3" s="602"/>
      <c r="L3" s="602"/>
      <c r="M3" s="602"/>
      <c r="N3" s="602"/>
      <c r="O3" s="602"/>
      <c r="P3" s="602"/>
      <c r="Q3" s="602"/>
      <c r="R3" s="602"/>
      <c r="S3" s="602"/>
    </row>
    <row r="4" spans="3:19" ht="12">
      <c r="C4" s="602" t="s">
        <v>163</v>
      </c>
      <c r="D4" s="602"/>
      <c r="E4" s="602"/>
      <c r="F4" s="602"/>
      <c r="G4" s="602"/>
      <c r="H4" s="602"/>
      <c r="I4" s="602"/>
      <c r="J4" s="602"/>
      <c r="K4" s="602"/>
      <c r="L4" s="602"/>
      <c r="M4" s="602"/>
      <c r="N4" s="602"/>
      <c r="O4" s="602"/>
      <c r="P4" s="602"/>
      <c r="Q4" s="602"/>
      <c r="R4" s="602"/>
      <c r="S4" s="602"/>
    </row>
    <row r="5" spans="3:19" ht="12">
      <c r="C5" s="501"/>
      <c r="D5" s="89"/>
      <c r="E5" s="89"/>
      <c r="F5" s="89"/>
      <c r="G5" s="89"/>
      <c r="H5" s="89"/>
      <c r="I5" s="89"/>
      <c r="J5" s="89"/>
      <c r="K5" s="89"/>
      <c r="L5" s="89"/>
      <c r="M5" s="89"/>
      <c r="N5" s="89"/>
      <c r="O5" s="476"/>
      <c r="P5" s="89"/>
      <c r="Q5" s="89"/>
      <c r="R5" s="89"/>
      <c r="S5" s="476"/>
    </row>
    <row r="6" spans="3:18" ht="12.75">
      <c r="C6" s="3" t="s">
        <v>81</v>
      </c>
      <c r="D6" s="3"/>
      <c r="E6" s="3"/>
      <c r="F6" s="3"/>
      <c r="G6" s="3"/>
      <c r="H6" s="3"/>
      <c r="I6" s="3"/>
      <c r="J6" s="3"/>
      <c r="K6" s="3"/>
      <c r="N6" s="416" t="s">
        <v>255</v>
      </c>
      <c r="O6" s="405"/>
      <c r="P6" s="416" t="s">
        <v>255</v>
      </c>
      <c r="R6" s="416" t="s">
        <v>17</v>
      </c>
    </row>
    <row r="7" spans="4:19" ht="11.25">
      <c r="D7" s="4" t="s">
        <v>441</v>
      </c>
      <c r="E7" s="4"/>
      <c r="F7" s="4" t="s">
        <v>418</v>
      </c>
      <c r="G7" s="4"/>
      <c r="H7" s="4" t="s">
        <v>372</v>
      </c>
      <c r="I7" s="4"/>
      <c r="J7" s="4" t="s">
        <v>358</v>
      </c>
      <c r="K7" s="4"/>
      <c r="L7" s="4" t="s">
        <v>351</v>
      </c>
      <c r="M7" s="4"/>
      <c r="N7" s="22">
        <v>2007</v>
      </c>
      <c r="O7" s="4"/>
      <c r="P7" s="22">
        <v>2006</v>
      </c>
      <c r="Q7" s="4"/>
      <c r="R7" s="22">
        <v>2006</v>
      </c>
      <c r="S7" s="5"/>
    </row>
    <row r="8" spans="10:15" ht="13.5" customHeight="1">
      <c r="J8" s="166"/>
      <c r="L8" s="166"/>
      <c r="O8" s="1"/>
    </row>
    <row r="9" spans="3:19" ht="11.25" customHeight="1">
      <c r="C9" s="1" t="s">
        <v>124</v>
      </c>
      <c r="D9" s="37">
        <f>+'Segment  2007 Qtr'!G10</f>
        <v>1427</v>
      </c>
      <c r="F9" s="37">
        <v>1621</v>
      </c>
      <c r="G9" s="31"/>
      <c r="H9" s="37">
        <v>1659</v>
      </c>
      <c r="I9" s="31"/>
      <c r="J9" s="31">
        <v>1441</v>
      </c>
      <c r="K9" s="31"/>
      <c r="L9" s="31">
        <v>1387</v>
      </c>
      <c r="M9" s="31"/>
      <c r="N9" s="31">
        <f aca="true" t="shared" si="0" ref="N9:N14">+H9+F9+D9</f>
        <v>4707</v>
      </c>
      <c r="O9" s="31"/>
      <c r="P9" s="31">
        <v>4456</v>
      </c>
      <c r="Q9" s="31"/>
      <c r="R9" s="31">
        <v>5897</v>
      </c>
      <c r="S9" s="32"/>
    </row>
    <row r="10" spans="3:19" ht="11.25" customHeight="1">
      <c r="C10" s="1" t="s">
        <v>125</v>
      </c>
      <c r="D10" s="53">
        <f>+'Segment  2007 Qtr'!G11</f>
        <v>1041</v>
      </c>
      <c r="F10" s="53">
        <v>1166</v>
      </c>
      <c r="G10" s="53"/>
      <c r="H10" s="53">
        <v>1192</v>
      </c>
      <c r="I10" s="53"/>
      <c r="J10" s="53">
        <v>1059</v>
      </c>
      <c r="K10" s="53"/>
      <c r="L10" s="53">
        <v>978</v>
      </c>
      <c r="M10" s="40"/>
      <c r="N10" s="53">
        <f t="shared" si="0"/>
        <v>3399</v>
      </c>
      <c r="O10" s="40"/>
      <c r="P10" s="53">
        <v>3207</v>
      </c>
      <c r="Q10" s="40"/>
      <c r="R10" s="53">
        <v>4266</v>
      </c>
      <c r="S10" s="85"/>
    </row>
    <row r="11" spans="3:19" ht="11.25" customHeight="1">
      <c r="C11" s="1" t="s">
        <v>126</v>
      </c>
      <c r="D11" s="53">
        <f>+'Segment  2007 Qtr'!G12</f>
        <v>1141</v>
      </c>
      <c r="F11" s="53">
        <v>1141</v>
      </c>
      <c r="G11" s="53"/>
      <c r="H11" s="53">
        <v>1112</v>
      </c>
      <c r="I11" s="53"/>
      <c r="J11" s="53">
        <v>1097</v>
      </c>
      <c r="K11" s="53"/>
      <c r="L11" s="53">
        <v>1099</v>
      </c>
      <c r="M11" s="40"/>
      <c r="N11" s="53">
        <f t="shared" si="0"/>
        <v>3394</v>
      </c>
      <c r="O11" s="40"/>
      <c r="P11" s="53">
        <v>3224</v>
      </c>
      <c r="Q11" s="40"/>
      <c r="R11" s="53">
        <v>4321</v>
      </c>
      <c r="S11" s="85"/>
    </row>
    <row r="12" spans="3:19" ht="11.25" customHeight="1">
      <c r="C12" s="1" t="s">
        <v>119</v>
      </c>
      <c r="D12" s="53">
        <f>+'Segment  2007 Qtr'!G13</f>
        <v>611</v>
      </c>
      <c r="F12" s="53">
        <v>614</v>
      </c>
      <c r="G12" s="53"/>
      <c r="H12" s="53">
        <v>564</v>
      </c>
      <c r="I12" s="53"/>
      <c r="J12" s="53">
        <v>576</v>
      </c>
      <c r="K12" s="53"/>
      <c r="L12" s="53">
        <v>532</v>
      </c>
      <c r="M12" s="40"/>
      <c r="N12" s="53">
        <f t="shared" si="0"/>
        <v>1789</v>
      </c>
      <c r="O12" s="40"/>
      <c r="P12" s="53">
        <v>1683</v>
      </c>
      <c r="Q12" s="40"/>
      <c r="R12" s="53">
        <v>2259</v>
      </c>
      <c r="S12" s="85"/>
    </row>
    <row r="13" spans="3:19" ht="11.25" customHeight="1">
      <c r="C13" s="1" t="s">
        <v>129</v>
      </c>
      <c r="D13" s="53">
        <f>+'Segment  2007 Qtr'!G15</f>
        <v>240</v>
      </c>
      <c r="F13" s="53">
        <v>230</v>
      </c>
      <c r="G13" s="53"/>
      <c r="H13" s="53">
        <v>224</v>
      </c>
      <c r="I13" s="53"/>
      <c r="J13" s="53">
        <v>226</v>
      </c>
      <c r="K13" s="53"/>
      <c r="L13" s="53">
        <v>217</v>
      </c>
      <c r="M13" s="40"/>
      <c r="N13" s="53">
        <f t="shared" si="0"/>
        <v>694</v>
      </c>
      <c r="O13" s="40"/>
      <c r="P13" s="53">
        <v>630</v>
      </c>
      <c r="Q13" s="40"/>
      <c r="R13" s="53">
        <v>856</v>
      </c>
      <c r="S13" s="85"/>
    </row>
    <row r="14" spans="3:19" ht="11.25" customHeight="1">
      <c r="C14" s="1" t="s">
        <v>127</v>
      </c>
      <c r="D14" s="53">
        <f>+'Segment  2007 Qtr'!G16</f>
        <v>170</v>
      </c>
      <c r="E14" s="53"/>
      <c r="F14" s="53">
        <v>162</v>
      </c>
      <c r="G14" s="53"/>
      <c r="H14" s="53">
        <v>162</v>
      </c>
      <c r="I14" s="53"/>
      <c r="J14" s="53">
        <v>157</v>
      </c>
      <c r="K14" s="53"/>
      <c r="L14" s="53">
        <v>155</v>
      </c>
      <c r="M14" s="85"/>
      <c r="N14" s="53">
        <f t="shared" si="0"/>
        <v>494</v>
      </c>
      <c r="O14" s="85"/>
      <c r="P14" s="53">
        <v>452</v>
      </c>
      <c r="Q14" s="85"/>
      <c r="R14" s="53">
        <v>609</v>
      </c>
      <c r="S14" s="85"/>
    </row>
    <row r="15" spans="3:19" ht="11.25" customHeight="1">
      <c r="C15" s="1" t="s">
        <v>55</v>
      </c>
      <c r="D15" s="425">
        <f>+D11-D12-D13-D14</f>
        <v>120</v>
      </c>
      <c r="E15" s="425"/>
      <c r="F15" s="425">
        <f>+F11-F12-F13-F14</f>
        <v>135</v>
      </c>
      <c r="G15" s="425"/>
      <c r="H15" s="425">
        <f>+H11-H12-H13-H14</f>
        <v>162</v>
      </c>
      <c r="I15" s="425"/>
      <c r="J15" s="425">
        <f>+J11-J12-J13-J14</f>
        <v>138</v>
      </c>
      <c r="K15" s="425"/>
      <c r="L15" s="425">
        <f>+L11-L12-L13-L14</f>
        <v>195</v>
      </c>
      <c r="M15" s="425"/>
      <c r="N15" s="425">
        <f>+N11-N12-N13-N14</f>
        <v>417</v>
      </c>
      <c r="O15" s="257"/>
      <c r="P15" s="425">
        <f>+P11-P12-P13-P14</f>
        <v>459</v>
      </c>
      <c r="Q15" s="425"/>
      <c r="R15" s="425">
        <f>+R11-R12-R13-R14</f>
        <v>597</v>
      </c>
      <c r="S15" s="426"/>
    </row>
    <row r="16" spans="3:19" ht="7.5" customHeight="1">
      <c r="C16" s="24"/>
      <c r="D16" s="427"/>
      <c r="E16" s="24"/>
      <c r="F16" s="427"/>
      <c r="G16" s="427"/>
      <c r="H16" s="427"/>
      <c r="I16" s="427"/>
      <c r="J16" s="427"/>
      <c r="K16" s="427"/>
      <c r="L16" s="427"/>
      <c r="M16" s="427"/>
      <c r="N16" s="427"/>
      <c r="O16" s="126"/>
      <c r="P16" s="427"/>
      <c r="Q16" s="427"/>
      <c r="R16" s="427"/>
      <c r="S16" s="544"/>
    </row>
    <row r="17" spans="3:19" ht="11.25" customHeight="1">
      <c r="C17" s="1" t="s">
        <v>7</v>
      </c>
      <c r="D17" s="53">
        <f>+'Segment  2007 Qtr'!G19</f>
        <v>116</v>
      </c>
      <c r="F17" s="53">
        <v>111</v>
      </c>
      <c r="G17" s="53"/>
      <c r="H17" s="53">
        <v>104</v>
      </c>
      <c r="I17" s="53"/>
      <c r="J17" s="53">
        <v>97</v>
      </c>
      <c r="K17" s="53"/>
      <c r="L17" s="53">
        <v>97</v>
      </c>
      <c r="M17" s="428"/>
      <c r="N17" s="53">
        <f>+H17+F17+D17</f>
        <v>331</v>
      </c>
      <c r="O17" s="53"/>
      <c r="P17" s="53">
        <v>273</v>
      </c>
      <c r="Q17" s="428"/>
      <c r="R17" s="53">
        <v>370</v>
      </c>
      <c r="S17" s="419"/>
    </row>
    <row r="18" spans="3:19" ht="11.25" customHeight="1">
      <c r="C18" s="172" t="s">
        <v>166</v>
      </c>
      <c r="D18" s="53">
        <f>+'Segment  2007 Qtr'!G20</f>
        <v>-5</v>
      </c>
      <c r="E18" s="172"/>
      <c r="F18" s="53">
        <v>-27</v>
      </c>
      <c r="G18" s="53"/>
      <c r="H18" s="53">
        <v>-26</v>
      </c>
      <c r="I18" s="53"/>
      <c r="J18" s="53">
        <v>8</v>
      </c>
      <c r="K18" s="53"/>
      <c r="L18" s="53">
        <v>-32</v>
      </c>
      <c r="M18" s="53"/>
      <c r="N18" s="53">
        <f>+H18+F18+D18</f>
        <v>-58</v>
      </c>
      <c r="O18" s="53"/>
      <c r="P18" s="53">
        <v>-24</v>
      </c>
      <c r="Q18" s="53"/>
      <c r="R18" s="53">
        <v>-16</v>
      </c>
      <c r="S18" s="419"/>
    </row>
    <row r="19" spans="3:19" ht="11.25" customHeight="1">
      <c r="C19" s="1" t="s">
        <v>139</v>
      </c>
      <c r="D19" s="53">
        <f>+'Segment  2007 Qtr'!G21</f>
        <v>0</v>
      </c>
      <c r="F19" s="53">
        <v>0</v>
      </c>
      <c r="G19" s="53"/>
      <c r="H19" s="53">
        <v>0</v>
      </c>
      <c r="I19" s="53"/>
      <c r="J19" s="53">
        <v>0</v>
      </c>
      <c r="K19" s="53"/>
      <c r="L19" s="53">
        <v>0</v>
      </c>
      <c r="M19" s="53"/>
      <c r="N19" s="53">
        <f>+H19+F19+D19</f>
        <v>0</v>
      </c>
      <c r="O19" s="53"/>
      <c r="P19" s="53">
        <v>0</v>
      </c>
      <c r="Q19" s="53"/>
      <c r="R19" s="53">
        <v>0</v>
      </c>
      <c r="S19" s="419"/>
    </row>
    <row r="20" spans="3:19" ht="11.25" customHeight="1">
      <c r="C20" s="1" t="s">
        <v>245</v>
      </c>
      <c r="D20" s="53">
        <f>+'Segment  2007 Qtr'!G22</f>
        <v>-12</v>
      </c>
      <c r="F20" s="53">
        <v>1</v>
      </c>
      <c r="G20" s="53"/>
      <c r="H20" s="53">
        <v>3</v>
      </c>
      <c r="I20" s="53"/>
      <c r="J20" s="53">
        <v>7</v>
      </c>
      <c r="K20" s="53"/>
      <c r="L20" s="53">
        <v>-3</v>
      </c>
      <c r="M20" s="53"/>
      <c r="N20" s="53">
        <f>+H20+F20+D20</f>
        <v>-8</v>
      </c>
      <c r="O20" s="53"/>
      <c r="P20" s="53">
        <v>3</v>
      </c>
      <c r="Q20" s="53"/>
      <c r="R20" s="53">
        <v>10</v>
      </c>
      <c r="S20" s="419"/>
    </row>
    <row r="21" spans="3:19" ht="11.25" customHeight="1">
      <c r="C21" s="171" t="s">
        <v>151</v>
      </c>
      <c r="D21" s="249">
        <f>+'Segment  2007 Qtr'!G23</f>
        <v>26</v>
      </c>
      <c r="E21" s="249"/>
      <c r="F21" s="249">
        <v>58</v>
      </c>
      <c r="G21" s="249"/>
      <c r="H21" s="249">
        <v>40</v>
      </c>
      <c r="I21" s="249"/>
      <c r="J21" s="249">
        <v>43</v>
      </c>
      <c r="K21" s="249"/>
      <c r="L21" s="249">
        <v>63</v>
      </c>
      <c r="M21" s="249"/>
      <c r="N21" s="249">
        <f>+H21+F21+D21</f>
        <v>124</v>
      </c>
      <c r="O21" s="249"/>
      <c r="P21" s="249">
        <v>163</v>
      </c>
      <c r="Q21" s="249"/>
      <c r="R21" s="249">
        <v>206</v>
      </c>
      <c r="S21" s="53"/>
    </row>
    <row r="22" spans="3:19" ht="11.25" customHeight="1">
      <c r="C22" s="171" t="s">
        <v>5</v>
      </c>
      <c r="D22" s="426">
        <f>D15+D17-D20+D18+D19-D21</f>
        <v>217</v>
      </c>
      <c r="E22" s="426"/>
      <c r="F22" s="426">
        <f>F15+F17-F20+F18+F19-F21</f>
        <v>160</v>
      </c>
      <c r="G22" s="426"/>
      <c r="H22" s="426">
        <f>H15+H17-H20+H18+H19-H21</f>
        <v>197</v>
      </c>
      <c r="I22" s="426"/>
      <c r="J22" s="426">
        <f>J15+J17-J20+J18+J19-J21</f>
        <v>193</v>
      </c>
      <c r="K22" s="426"/>
      <c r="L22" s="426">
        <f>L15+L17-L20+L18+L19-L21</f>
        <v>200</v>
      </c>
      <c r="M22" s="426"/>
      <c r="N22" s="426">
        <f>N15+N17-N20+N18+N19-N21</f>
        <v>574</v>
      </c>
      <c r="O22" s="336"/>
      <c r="P22" s="426">
        <f>P15+P17-P20+P18+P19-P21</f>
        <v>542</v>
      </c>
      <c r="Q22" s="426"/>
      <c r="R22" s="426">
        <f>R15+R17-R20+R18+R19-R21</f>
        <v>735</v>
      </c>
      <c r="S22" s="426"/>
    </row>
    <row r="23" spans="3:19" ht="7.5" customHeight="1">
      <c r="C23" s="188"/>
      <c r="D23" s="418"/>
      <c r="E23" s="188"/>
      <c r="F23" s="418"/>
      <c r="G23" s="418"/>
      <c r="H23" s="418"/>
      <c r="I23" s="418"/>
      <c r="J23" s="418"/>
      <c r="K23" s="418"/>
      <c r="L23" s="418"/>
      <c r="M23" s="418"/>
      <c r="N23" s="418"/>
      <c r="O23" s="418"/>
      <c r="P23" s="439"/>
      <c r="Q23" s="418"/>
      <c r="R23" s="418"/>
      <c r="S23" s="545"/>
    </row>
    <row r="24" spans="3:19" ht="11.25" customHeight="1">
      <c r="C24" s="172" t="s">
        <v>166</v>
      </c>
      <c r="D24" s="53">
        <f>+'Segment  2007 Qtr'!G26</f>
        <v>-5</v>
      </c>
      <c r="E24" s="172"/>
      <c r="F24" s="53">
        <v>-27</v>
      </c>
      <c r="G24" s="53"/>
      <c r="H24" s="53">
        <v>-26</v>
      </c>
      <c r="I24" s="53"/>
      <c r="J24" s="53">
        <v>8</v>
      </c>
      <c r="K24" s="53"/>
      <c r="L24" s="53">
        <v>-32</v>
      </c>
      <c r="M24" s="53"/>
      <c r="N24" s="53">
        <f>+H24+F24+D24</f>
        <v>-58</v>
      </c>
      <c r="O24" s="53"/>
      <c r="P24" s="53">
        <v>-24</v>
      </c>
      <c r="Q24" s="53"/>
      <c r="R24" s="53">
        <v>-16</v>
      </c>
      <c r="S24" s="419"/>
    </row>
    <row r="25" spans="3:19" ht="11.25" customHeight="1">
      <c r="C25" s="171" t="s">
        <v>514</v>
      </c>
      <c r="D25" s="53">
        <f>+'Segment  2007 Qtr'!G27</f>
        <v>11</v>
      </c>
      <c r="E25" s="172"/>
      <c r="F25" s="53">
        <v>0</v>
      </c>
      <c r="G25" s="53"/>
      <c r="H25" s="53">
        <v>0</v>
      </c>
      <c r="I25" s="53"/>
      <c r="J25" s="53">
        <v>0</v>
      </c>
      <c r="K25" s="53"/>
      <c r="L25" s="53">
        <v>0</v>
      </c>
      <c r="M25" s="53"/>
      <c r="N25" s="53">
        <f>+H25+F25+D25</f>
        <v>11</v>
      </c>
      <c r="O25" s="53"/>
      <c r="P25" s="53">
        <v>0</v>
      </c>
      <c r="Q25" s="53"/>
      <c r="R25" s="53">
        <v>0</v>
      </c>
      <c r="S25" s="419"/>
    </row>
    <row r="26" spans="3:19" ht="11.25" customHeight="1">
      <c r="C26" s="172" t="s">
        <v>246</v>
      </c>
      <c r="D26" s="53">
        <f>+'Segment  2007 Qtr'!G28</f>
        <v>-1</v>
      </c>
      <c r="E26" s="53"/>
      <c r="F26" s="53">
        <v>-4</v>
      </c>
      <c r="G26" s="53"/>
      <c r="H26" s="53">
        <v>-8</v>
      </c>
      <c r="I26" s="53"/>
      <c r="J26" s="53">
        <v>2</v>
      </c>
      <c r="K26" s="53"/>
      <c r="L26" s="53">
        <v>-6</v>
      </c>
      <c r="M26" s="53"/>
      <c r="N26" s="53">
        <f>+H26+F26+D26</f>
        <v>-13</v>
      </c>
      <c r="O26" s="53"/>
      <c r="P26" s="53">
        <v>1</v>
      </c>
      <c r="Q26" s="53"/>
      <c r="R26" s="53">
        <v>3</v>
      </c>
      <c r="S26" s="53"/>
    </row>
    <row r="27" spans="3:19" ht="14.25" customHeight="1" thickBot="1">
      <c r="C27" s="200" t="s">
        <v>249</v>
      </c>
      <c r="D27" s="440">
        <f>+D22-D24-D25+D26</f>
        <v>210</v>
      </c>
      <c r="E27" s="440"/>
      <c r="F27" s="440">
        <f>+F22-F24-F25+F26</f>
        <v>183</v>
      </c>
      <c r="G27" s="379"/>
      <c r="H27" s="440">
        <f>+H22-H24-H25+H26</f>
        <v>215</v>
      </c>
      <c r="I27" s="379"/>
      <c r="J27" s="440">
        <f>+J22-J24-J25+J26</f>
        <v>187</v>
      </c>
      <c r="K27" s="379"/>
      <c r="L27" s="440">
        <f>+L22-L24-L25+L26</f>
        <v>226</v>
      </c>
      <c r="M27" s="379"/>
      <c r="N27" s="440">
        <f>+N22-N24-N25+N26</f>
        <v>608</v>
      </c>
      <c r="O27" s="379"/>
      <c r="P27" s="440">
        <f>+P22-P24-P25+P26</f>
        <v>567</v>
      </c>
      <c r="Q27" s="379"/>
      <c r="R27" s="440">
        <f>+R22-R24-R25+R26</f>
        <v>754</v>
      </c>
      <c r="S27" s="32"/>
    </row>
    <row r="28" spans="3:19" ht="12" thickTop="1">
      <c r="C28" s="171"/>
      <c r="D28" s="42"/>
      <c r="E28" s="42"/>
      <c r="F28" s="42"/>
      <c r="G28" s="42"/>
      <c r="H28" s="42"/>
      <c r="I28" s="42"/>
      <c r="J28" s="42"/>
      <c r="K28" s="42"/>
      <c r="L28" s="42"/>
      <c r="M28" s="42"/>
      <c r="N28" s="42"/>
      <c r="O28" s="42"/>
      <c r="P28" s="419"/>
      <c r="Q28" s="42"/>
      <c r="R28" s="42"/>
      <c r="S28" s="75"/>
    </row>
    <row r="29" spans="3:19" ht="11.25">
      <c r="C29" s="178" t="s">
        <v>128</v>
      </c>
      <c r="D29" s="366"/>
      <c r="E29" s="178"/>
      <c r="F29" s="366"/>
      <c r="G29" s="366"/>
      <c r="H29" s="366"/>
      <c r="I29" s="366"/>
      <c r="J29" s="366"/>
      <c r="K29" s="366"/>
      <c r="L29" s="366"/>
      <c r="M29" s="366"/>
      <c r="N29" s="361"/>
      <c r="O29" s="42"/>
      <c r="P29" s="361"/>
      <c r="Q29" s="366"/>
      <c r="R29" s="42"/>
      <c r="S29" s="368"/>
    </row>
    <row r="30" spans="3:19" ht="11.25">
      <c r="C30" s="1" t="s">
        <v>123</v>
      </c>
      <c r="D30" s="16">
        <f>'Segment  2007 Qtr'!G55</f>
        <v>0.536</v>
      </c>
      <c r="F30" s="16">
        <v>0.539</v>
      </c>
      <c r="G30" s="16"/>
      <c r="H30" s="16">
        <v>0.507</v>
      </c>
      <c r="I30" s="16"/>
      <c r="J30" s="16">
        <v>0.525</v>
      </c>
      <c r="K30" s="16"/>
      <c r="L30" s="16">
        <v>0.484</v>
      </c>
      <c r="M30" s="16"/>
      <c r="N30" s="16">
        <f>+'Segment  2007 YTD'!G59</f>
        <v>0.527</v>
      </c>
      <c r="O30" s="16"/>
      <c r="P30" s="16">
        <v>0.522</v>
      </c>
      <c r="Q30" s="16"/>
      <c r="R30" s="17">
        <v>0.523</v>
      </c>
      <c r="S30" s="17"/>
    </row>
    <row r="31" spans="3:19" ht="11.25">
      <c r="C31" s="1" t="s">
        <v>130</v>
      </c>
      <c r="D31" s="16">
        <f>'Segment  2007 Qtr'!G56</f>
        <v>0.211</v>
      </c>
      <c r="F31" s="16">
        <v>0.201</v>
      </c>
      <c r="G31" s="16"/>
      <c r="H31" s="16">
        <v>0.202</v>
      </c>
      <c r="I31" s="16"/>
      <c r="J31" s="16">
        <v>0.206</v>
      </c>
      <c r="K31" s="16"/>
      <c r="L31" s="16">
        <v>0.198</v>
      </c>
      <c r="M31" s="16"/>
      <c r="N31" s="16">
        <f>+'Segment  2007 YTD'!G60</f>
        <v>0.205</v>
      </c>
      <c r="O31" s="16"/>
      <c r="P31" s="16">
        <v>0.196</v>
      </c>
      <c r="Q31" s="16"/>
      <c r="R31" s="17">
        <v>0.198</v>
      </c>
      <c r="S31" s="17"/>
    </row>
    <row r="32" spans="3:19" ht="11.25">
      <c r="C32" s="1" t="s">
        <v>138</v>
      </c>
      <c r="D32" s="16">
        <f>'Segment  2007 Qtr'!G57</f>
        <v>0.148</v>
      </c>
      <c r="E32" s="16"/>
      <c r="F32" s="16">
        <v>0.142</v>
      </c>
      <c r="G32" s="16"/>
      <c r="H32" s="16">
        <v>0.145</v>
      </c>
      <c r="I32" s="16"/>
      <c r="J32" s="16">
        <v>0.143</v>
      </c>
      <c r="K32" s="16"/>
      <c r="L32" s="16">
        <v>0.14</v>
      </c>
      <c r="M32" s="18"/>
      <c r="N32" s="16">
        <f>+'Segment  2007 YTD'!G61</f>
        <v>0.145</v>
      </c>
      <c r="O32" s="18"/>
      <c r="P32" s="16">
        <v>0.14</v>
      </c>
      <c r="Q32" s="17"/>
      <c r="R32" s="17">
        <v>0.141</v>
      </c>
      <c r="S32" s="17"/>
    </row>
    <row r="33" spans="3:19" ht="12" thickBot="1">
      <c r="C33" s="171" t="s">
        <v>54</v>
      </c>
      <c r="D33" s="179">
        <f>SUM(D30:D32)</f>
        <v>0.895</v>
      </c>
      <c r="E33" s="179"/>
      <c r="F33" s="179">
        <f>SUM(F30:F32)</f>
        <v>0.882</v>
      </c>
      <c r="G33" s="179"/>
      <c r="H33" s="179">
        <f>SUM(H30:H32)</f>
        <v>0.8540000000000001</v>
      </c>
      <c r="I33" s="179"/>
      <c r="J33" s="179">
        <f>SUM(J30:J32)</f>
        <v>0.874</v>
      </c>
      <c r="K33" s="179"/>
      <c r="L33" s="179">
        <f>SUM(L30:L32)</f>
        <v>0.822</v>
      </c>
      <c r="M33" s="179"/>
      <c r="N33" s="179">
        <f>SUM(N30:N32)</f>
        <v>0.877</v>
      </c>
      <c r="O33" s="179"/>
      <c r="P33" s="179">
        <f>SUM(P30:P32)</f>
        <v>0.858</v>
      </c>
      <c r="Q33" s="179"/>
      <c r="R33" s="179">
        <f>SUM(R30:R32)</f>
        <v>0.8620000000000001</v>
      </c>
      <c r="S33" s="17"/>
    </row>
    <row r="34" spans="3:19" ht="12" thickTop="1">
      <c r="C34" s="171"/>
      <c r="D34" s="171"/>
      <c r="E34" s="171"/>
      <c r="F34" s="171"/>
      <c r="G34" s="171"/>
      <c r="H34" s="171"/>
      <c r="I34" s="171"/>
      <c r="J34" s="171"/>
      <c r="K34" s="171"/>
      <c r="L34" s="171"/>
      <c r="M34" s="171"/>
      <c r="N34" s="419"/>
      <c r="O34" s="42"/>
      <c r="P34" s="419"/>
      <c r="Q34" s="171"/>
      <c r="R34" s="171"/>
      <c r="S34" s="180"/>
    </row>
    <row r="35" spans="3:18" ht="11.25">
      <c r="C35" s="14" t="s">
        <v>231</v>
      </c>
      <c r="E35" s="14"/>
      <c r="G35" s="14"/>
      <c r="I35" s="14"/>
      <c r="N35" s="30"/>
      <c r="O35" s="42"/>
      <c r="P35" s="30"/>
      <c r="R35" s="42"/>
    </row>
    <row r="36" spans="3:19" ht="11.25">
      <c r="C36" s="1" t="s">
        <v>295</v>
      </c>
      <c r="D36" s="37">
        <v>8</v>
      </c>
      <c r="E36" s="42"/>
      <c r="F36" s="37">
        <v>58</v>
      </c>
      <c r="G36" s="42"/>
      <c r="H36" s="37">
        <v>15</v>
      </c>
      <c r="I36" s="42"/>
      <c r="J36" s="37">
        <v>0</v>
      </c>
      <c r="K36" s="37"/>
      <c r="L36" s="37">
        <v>3</v>
      </c>
      <c r="M36" s="37"/>
      <c r="N36" s="53">
        <f>+H36+F36+D36</f>
        <v>81</v>
      </c>
      <c r="O36" s="37"/>
      <c r="P36" s="37">
        <v>3</v>
      </c>
      <c r="Q36" s="37"/>
      <c r="R36" s="504">
        <v>3</v>
      </c>
      <c r="S36" s="59"/>
    </row>
    <row r="37" spans="3:19" ht="11.25">
      <c r="C37" s="1" t="s">
        <v>311</v>
      </c>
      <c r="D37" s="37">
        <v>-64</v>
      </c>
      <c r="E37" s="42"/>
      <c r="F37" s="37">
        <v>-31</v>
      </c>
      <c r="G37" s="42"/>
      <c r="H37" s="37">
        <v>-21</v>
      </c>
      <c r="I37" s="42"/>
      <c r="J37" s="37">
        <v>4</v>
      </c>
      <c r="K37" s="37"/>
      <c r="L37" s="37">
        <v>-16</v>
      </c>
      <c r="M37" s="37"/>
      <c r="N37" s="53">
        <f>+H37+F37+D37</f>
        <v>-116</v>
      </c>
      <c r="O37" s="59"/>
      <c r="P37" s="37">
        <v>-76</v>
      </c>
      <c r="Q37" s="37"/>
      <c r="R37" s="504">
        <v>-72</v>
      </c>
      <c r="S37" s="59"/>
    </row>
    <row r="38" spans="3:19" ht="11.25">
      <c r="C38" s="171"/>
      <c r="D38" s="42"/>
      <c r="E38" s="171"/>
      <c r="F38" s="42"/>
      <c r="G38" s="171"/>
      <c r="H38" s="42"/>
      <c r="I38" s="171"/>
      <c r="J38" s="42"/>
      <c r="K38" s="42"/>
      <c r="L38" s="42"/>
      <c r="M38" s="42"/>
      <c r="N38" s="126"/>
      <c r="O38" s="399"/>
      <c r="P38" s="126"/>
      <c r="Q38" s="42"/>
      <c r="R38" s="42"/>
      <c r="S38" s="75"/>
    </row>
    <row r="39" spans="3:19" ht="11.25">
      <c r="C39" s="14" t="s">
        <v>13</v>
      </c>
      <c r="D39" s="42"/>
      <c r="E39" s="14"/>
      <c r="F39" s="42"/>
      <c r="G39" s="14"/>
      <c r="H39" s="42"/>
      <c r="I39" s="14"/>
      <c r="J39" s="42"/>
      <c r="K39" s="42"/>
      <c r="L39" s="42"/>
      <c r="M39" s="42"/>
      <c r="N39" s="126"/>
      <c r="O39" s="399"/>
      <c r="P39" s="565"/>
      <c r="Q39" s="42"/>
      <c r="R39" s="42"/>
      <c r="S39" s="75"/>
    </row>
    <row r="40" spans="3:19" ht="11.25" customHeight="1">
      <c r="C40" s="1" t="s">
        <v>125</v>
      </c>
      <c r="D40" s="126">
        <f>(D10/L10)-1</f>
        <v>0.0644171779141105</v>
      </c>
      <c r="F40" s="126">
        <v>0.08</v>
      </c>
      <c r="H40" s="126">
        <v>0.04013961605584648</v>
      </c>
      <c r="J40" s="126">
        <v>0.044378698224852</v>
      </c>
      <c r="K40" s="126"/>
      <c r="L40" s="126">
        <v>0.05</v>
      </c>
      <c r="M40" s="126"/>
      <c r="N40" s="126">
        <f>(N10/P10)-1</f>
        <v>0.05986903648269415</v>
      </c>
      <c r="O40" s="399"/>
      <c r="P40" s="126">
        <v>0.01</v>
      </c>
      <c r="Q40" s="126"/>
      <c r="R40" s="126">
        <v>0.016924910607866606</v>
      </c>
      <c r="S40" s="399"/>
    </row>
    <row r="41" spans="3:19" ht="11.25" customHeight="1">
      <c r="C41" s="1" t="s">
        <v>18</v>
      </c>
      <c r="D41" s="126">
        <f>(D11/L11)-1</f>
        <v>0.03821656050955413</v>
      </c>
      <c r="F41" s="126">
        <v>0.05</v>
      </c>
      <c r="H41" s="126">
        <v>0.07025986525505301</v>
      </c>
      <c r="J41" s="126">
        <v>0.0467557251908397</v>
      </c>
      <c r="K41" s="126"/>
      <c r="L41" s="126">
        <v>0.07</v>
      </c>
      <c r="M41" s="126"/>
      <c r="N41" s="126">
        <f>(N11/P11)-1</f>
        <v>0.05272952853598012</v>
      </c>
      <c r="O41" s="399"/>
      <c r="P41" s="126">
        <v>0.01</v>
      </c>
      <c r="Q41" s="126"/>
      <c r="R41" s="126">
        <v>0.019344184949280585</v>
      </c>
      <c r="S41" s="399"/>
    </row>
    <row r="42" spans="4:19" ht="8.25" customHeight="1">
      <c r="D42" s="126"/>
      <c r="F42" s="126"/>
      <c r="H42" s="126"/>
      <c r="J42" s="126"/>
      <c r="K42" s="126"/>
      <c r="L42" s="126"/>
      <c r="M42" s="126"/>
      <c r="N42" s="126"/>
      <c r="O42" s="399"/>
      <c r="P42" s="126"/>
      <c r="Q42" s="126"/>
      <c r="R42" s="126"/>
      <c r="S42" s="399"/>
    </row>
    <row r="43" spans="3:19" ht="11.25">
      <c r="C43" s="14" t="s">
        <v>14</v>
      </c>
      <c r="D43" s="42"/>
      <c r="E43" s="14"/>
      <c r="F43" s="42"/>
      <c r="G43" s="14"/>
      <c r="H43" s="42"/>
      <c r="I43" s="14"/>
      <c r="J43" s="42"/>
      <c r="K43" s="42"/>
      <c r="L43" s="42"/>
      <c r="M43" s="42"/>
      <c r="N43" s="42"/>
      <c r="O43" s="75"/>
      <c r="P43" s="42"/>
      <c r="Q43" s="42"/>
      <c r="R43" s="42"/>
      <c r="S43" s="75"/>
    </row>
    <row r="44" spans="3:19" ht="11.25" customHeight="1">
      <c r="C44" s="1" t="s">
        <v>53</v>
      </c>
      <c r="D44" s="239">
        <f>D10/D9</f>
        <v>0.7295024526979678</v>
      </c>
      <c r="F44" s="239">
        <f>F10/F9</f>
        <v>0.7193090684762492</v>
      </c>
      <c r="H44" s="239">
        <f>H10/H9</f>
        <v>0.7185051235684147</v>
      </c>
      <c r="J44" s="239">
        <f>J10/J9</f>
        <v>0.7349063150589868</v>
      </c>
      <c r="K44" s="239"/>
      <c r="L44" s="239">
        <f>L10/L9</f>
        <v>0.7051189617880317</v>
      </c>
      <c r="M44" s="239"/>
      <c r="N44" s="239">
        <f>N10/N9</f>
        <v>0.7221159974506055</v>
      </c>
      <c r="O44" s="240"/>
      <c r="P44" s="239">
        <f>P10/P9</f>
        <v>0.7197037701974865</v>
      </c>
      <c r="Q44" s="239"/>
      <c r="R44" s="239">
        <f>R10/R9</f>
        <v>0.7234186874682041</v>
      </c>
      <c r="S44" s="240"/>
    </row>
    <row r="46" spans="3:11" ht="11.25">
      <c r="C46" s="526" t="str">
        <f>+'Financial Highlights'!C49</f>
        <v>(1) See page 21 Non-GAAP Financial Measures.</v>
      </c>
      <c r="D46" s="527"/>
      <c r="E46" s="35"/>
      <c r="F46" s="35"/>
      <c r="G46" s="35"/>
      <c r="H46" s="57"/>
      <c r="I46" s="57"/>
      <c r="J46" s="57"/>
      <c r="K46" s="57"/>
    </row>
  </sheetData>
  <mergeCells count="4">
    <mergeCell ref="C1:S1"/>
    <mergeCell ref="C2:S2"/>
    <mergeCell ref="C3:S3"/>
    <mergeCell ref="C4:S4"/>
  </mergeCells>
  <hyperlinks>
    <hyperlink ref="C46" location="'Reconciliation Non-GAAP'!A1" display="'Reconciliation Non-GAAP'!A1"/>
  </hyperlinks>
  <printOptions/>
  <pageMargins left="0.5" right="0.5" top="0.5" bottom="0.55" header="0.75" footer="0.3"/>
  <pageSetup horizontalDpi="600" verticalDpi="600" orientation="landscape" r:id="rId2"/>
  <headerFooter alignWithMargins="0">
    <oddFooter>&amp;L&amp;A&amp;R&amp;"Arial,Regular"&amp;8Page 8</oddFooter>
  </headerFooter>
  <drawing r:id="rId1"/>
</worksheet>
</file>

<file path=xl/worksheets/sheet11.xml><?xml version="1.0" encoding="utf-8"?>
<worksheet xmlns="http://schemas.openxmlformats.org/spreadsheetml/2006/main" xmlns:r="http://schemas.openxmlformats.org/officeDocument/2006/relationships">
  <sheetPr codeName="Sheet20">
    <pageSetUpPr fitToPage="1"/>
  </sheetPr>
  <dimension ref="C1:U39"/>
  <sheetViews>
    <sheetView workbookViewId="0" topLeftCell="A1">
      <selection activeCell="A1" sqref="A1"/>
    </sheetView>
  </sheetViews>
  <sheetFormatPr defaultColWidth="9.33203125" defaultRowHeight="12.75"/>
  <cols>
    <col min="1" max="2" width="3.33203125" style="1" customWidth="1"/>
    <col min="3" max="3" width="40" style="1" customWidth="1"/>
    <col min="4" max="4" width="8.83203125" style="1" customWidth="1"/>
    <col min="5" max="5" width="2.33203125" style="1" customWidth="1"/>
    <col min="6" max="6" width="8.83203125" style="1" customWidth="1"/>
    <col min="7" max="7" width="2.33203125" style="1" customWidth="1"/>
    <col min="8" max="8" width="8.83203125" style="1" customWidth="1"/>
    <col min="9" max="9" width="2.33203125" style="1" customWidth="1"/>
    <col min="10" max="10" width="8.83203125" style="1" customWidth="1"/>
    <col min="11" max="11" width="2.33203125" style="1" customWidth="1"/>
    <col min="12" max="12" width="8.83203125" style="1" customWidth="1"/>
    <col min="13" max="13" width="2.33203125" style="1" customWidth="1"/>
    <col min="14" max="14" width="8.83203125" style="1" customWidth="1"/>
    <col min="15" max="15" width="2.33203125" style="1" customWidth="1"/>
    <col min="16" max="16" width="8.83203125" style="1" customWidth="1"/>
    <col min="17" max="17" width="2.33203125" style="1" customWidth="1"/>
    <col min="18" max="18" width="8.83203125" style="1" customWidth="1"/>
    <col min="19" max="19" width="2.33203125" style="1" customWidth="1"/>
    <col min="20" max="21" width="8.83203125" style="1" customWidth="1"/>
    <col min="22" max="16384" width="9" style="1" customWidth="1"/>
  </cols>
  <sheetData>
    <row r="1" spans="3:21" ht="12.75">
      <c r="C1" s="626" t="s">
        <v>89</v>
      </c>
      <c r="D1" s="626"/>
      <c r="E1" s="626"/>
      <c r="F1" s="626"/>
      <c r="G1" s="626"/>
      <c r="H1" s="626"/>
      <c r="I1" s="626"/>
      <c r="J1" s="626"/>
      <c r="K1" s="626"/>
      <c r="L1" s="626"/>
      <c r="M1" s="626"/>
      <c r="N1" s="626"/>
      <c r="O1" s="626"/>
      <c r="P1" s="626"/>
      <c r="Q1" s="626"/>
      <c r="R1" s="626"/>
      <c r="S1" s="626"/>
      <c r="T1" s="19"/>
      <c r="U1" s="19"/>
    </row>
    <row r="2" spans="3:21" ht="12">
      <c r="C2" s="627" t="s">
        <v>75</v>
      </c>
      <c r="D2" s="627"/>
      <c r="E2" s="627"/>
      <c r="F2" s="627"/>
      <c r="G2" s="627"/>
      <c r="H2" s="627"/>
      <c r="I2" s="627"/>
      <c r="J2" s="627"/>
      <c r="K2" s="627"/>
      <c r="L2" s="627"/>
      <c r="M2" s="627"/>
      <c r="N2" s="627"/>
      <c r="O2" s="627"/>
      <c r="P2" s="627"/>
      <c r="Q2" s="627"/>
      <c r="R2" s="627"/>
      <c r="S2" s="627"/>
      <c r="T2" s="2"/>
      <c r="U2" s="2"/>
    </row>
    <row r="3" spans="3:21" ht="12">
      <c r="C3" s="602" t="s">
        <v>147</v>
      </c>
      <c r="D3" s="602"/>
      <c r="E3" s="602"/>
      <c r="F3" s="602"/>
      <c r="G3" s="602"/>
      <c r="H3" s="602"/>
      <c r="I3" s="602"/>
      <c r="J3" s="602"/>
      <c r="K3" s="602"/>
      <c r="L3" s="602"/>
      <c r="M3" s="602"/>
      <c r="N3" s="602"/>
      <c r="O3" s="602"/>
      <c r="P3" s="602"/>
      <c r="Q3" s="602"/>
      <c r="R3" s="602"/>
      <c r="S3" s="602"/>
      <c r="T3" s="20"/>
      <c r="U3" s="20"/>
    </row>
    <row r="4" spans="3:21" ht="12">
      <c r="C4" s="602" t="s">
        <v>163</v>
      </c>
      <c r="D4" s="602"/>
      <c r="E4" s="602"/>
      <c r="F4" s="602"/>
      <c r="G4" s="602"/>
      <c r="H4" s="602"/>
      <c r="I4" s="602"/>
      <c r="J4" s="602"/>
      <c r="K4" s="602"/>
      <c r="L4" s="602"/>
      <c r="M4" s="602"/>
      <c r="N4" s="602"/>
      <c r="O4" s="602"/>
      <c r="P4" s="602"/>
      <c r="Q4" s="602"/>
      <c r="R4" s="602"/>
      <c r="S4" s="602"/>
      <c r="T4" s="20"/>
      <c r="U4" s="20"/>
    </row>
    <row r="5" ht="12">
      <c r="C5" s="501"/>
    </row>
    <row r="6" spans="3:21" ht="12.75">
      <c r="C6" s="182" t="s">
        <v>116</v>
      </c>
      <c r="D6" s="182"/>
      <c r="E6" s="182"/>
      <c r="F6" s="182"/>
      <c r="G6" s="182"/>
      <c r="H6" s="3"/>
      <c r="I6" s="3"/>
      <c r="J6" s="3"/>
      <c r="K6" s="3"/>
      <c r="N6" s="416" t="s">
        <v>255</v>
      </c>
      <c r="O6" s="405"/>
      <c r="P6" s="416" t="s">
        <v>255</v>
      </c>
      <c r="R6" s="416" t="s">
        <v>17</v>
      </c>
      <c r="S6" s="7"/>
      <c r="T6" s="429"/>
      <c r="U6" s="429"/>
    </row>
    <row r="7" spans="4:21" ht="11.25">
      <c r="D7" s="4" t="s">
        <v>441</v>
      </c>
      <c r="E7" s="79"/>
      <c r="F7" s="4" t="s">
        <v>418</v>
      </c>
      <c r="G7" s="4"/>
      <c r="H7" s="4" t="s">
        <v>372</v>
      </c>
      <c r="I7" s="4"/>
      <c r="J7" s="4" t="s">
        <v>358</v>
      </c>
      <c r="K7" s="4"/>
      <c r="L7" s="4" t="s">
        <v>351</v>
      </c>
      <c r="M7" s="4"/>
      <c r="N7" s="22">
        <v>2007</v>
      </c>
      <c r="O7" s="4"/>
      <c r="P7" s="22">
        <v>2006</v>
      </c>
      <c r="Q7" s="4"/>
      <c r="R7" s="22">
        <v>2006</v>
      </c>
      <c r="S7" s="5"/>
      <c r="T7" s="29"/>
      <c r="U7" s="29"/>
    </row>
    <row r="8" spans="3:21" ht="13.5" customHeight="1">
      <c r="C8" s="14"/>
      <c r="F8" s="2"/>
      <c r="H8" s="2"/>
      <c r="J8" s="2"/>
      <c r="L8" s="2"/>
      <c r="R8" s="2"/>
      <c r="S8" s="7"/>
      <c r="T8" s="121"/>
      <c r="U8" s="121"/>
    </row>
    <row r="9" spans="3:21" ht="11.25" customHeight="1">
      <c r="C9" s="1" t="s">
        <v>124</v>
      </c>
      <c r="D9" s="37">
        <f>+'Segment  2007 Qtr'!I10</f>
        <v>228</v>
      </c>
      <c r="F9" s="37">
        <v>335</v>
      </c>
      <c r="G9" s="31"/>
      <c r="H9" s="37">
        <v>478</v>
      </c>
      <c r="I9" s="31"/>
      <c r="J9" s="31">
        <v>255</v>
      </c>
      <c r="K9" s="31"/>
      <c r="L9" s="31">
        <v>291</v>
      </c>
      <c r="M9" s="31"/>
      <c r="N9" s="31">
        <f aca="true" t="shared" si="0" ref="N9:N14">+H9+F9+D9</f>
        <v>1041</v>
      </c>
      <c r="O9" s="31"/>
      <c r="P9" s="31">
        <v>1312</v>
      </c>
      <c r="Q9" s="31"/>
      <c r="R9" s="31">
        <v>1567</v>
      </c>
      <c r="S9" s="32"/>
      <c r="T9" s="32"/>
      <c r="U9" s="32"/>
    </row>
    <row r="10" spans="3:21" ht="11.25" customHeight="1">
      <c r="C10" s="1" t="s">
        <v>125</v>
      </c>
      <c r="D10" s="53">
        <f>+'Segment  2007 Qtr'!I11</f>
        <v>215</v>
      </c>
      <c r="F10" s="53">
        <v>332</v>
      </c>
      <c r="G10" s="53"/>
      <c r="H10" s="53">
        <v>476</v>
      </c>
      <c r="I10" s="53"/>
      <c r="J10" s="53">
        <v>251</v>
      </c>
      <c r="K10" s="53"/>
      <c r="L10" s="53">
        <v>284</v>
      </c>
      <c r="M10" s="53"/>
      <c r="N10" s="53">
        <f t="shared" si="0"/>
        <v>1023</v>
      </c>
      <c r="O10" s="40"/>
      <c r="P10" s="53">
        <v>1299</v>
      </c>
      <c r="Q10" s="53"/>
      <c r="R10" s="63">
        <v>1550</v>
      </c>
      <c r="S10" s="53"/>
      <c r="T10" s="38"/>
      <c r="U10" s="38"/>
    </row>
    <row r="11" spans="3:21" ht="11.25" customHeight="1">
      <c r="C11" s="1" t="s">
        <v>126</v>
      </c>
      <c r="D11" s="53">
        <f>+'Segment  2007 Qtr'!I12</f>
        <v>319</v>
      </c>
      <c r="F11" s="53">
        <v>325</v>
      </c>
      <c r="G11" s="53"/>
      <c r="H11" s="53">
        <v>343</v>
      </c>
      <c r="I11" s="53"/>
      <c r="J11" s="53">
        <v>380</v>
      </c>
      <c r="K11" s="53"/>
      <c r="L11" s="53">
        <v>373</v>
      </c>
      <c r="M11" s="53"/>
      <c r="N11" s="53">
        <f t="shared" si="0"/>
        <v>987</v>
      </c>
      <c r="O11" s="40"/>
      <c r="P11" s="53">
        <v>1131</v>
      </c>
      <c r="Q11" s="53"/>
      <c r="R11" s="63">
        <v>1511</v>
      </c>
      <c r="S11" s="53"/>
      <c r="T11" s="38"/>
      <c r="U11" s="38"/>
    </row>
    <row r="12" spans="3:21" ht="11.25" customHeight="1">
      <c r="C12" s="1" t="s">
        <v>119</v>
      </c>
      <c r="D12" s="53">
        <f>+'Segment  2007 Qtr'!I13</f>
        <v>161</v>
      </c>
      <c r="F12" s="53">
        <v>163</v>
      </c>
      <c r="G12" s="53"/>
      <c r="H12" s="53">
        <v>185</v>
      </c>
      <c r="I12" s="53"/>
      <c r="J12" s="53">
        <v>194</v>
      </c>
      <c r="K12" s="53"/>
      <c r="L12" s="53">
        <v>196</v>
      </c>
      <c r="M12" s="53"/>
      <c r="N12" s="53">
        <f t="shared" si="0"/>
        <v>509</v>
      </c>
      <c r="O12" s="40"/>
      <c r="P12" s="53">
        <v>590</v>
      </c>
      <c r="Q12" s="53"/>
      <c r="R12" s="63">
        <v>784</v>
      </c>
      <c r="S12" s="53"/>
      <c r="T12" s="38"/>
      <c r="U12" s="38"/>
    </row>
    <row r="13" spans="3:21" ht="11.25" customHeight="1">
      <c r="C13" s="1" t="s">
        <v>129</v>
      </c>
      <c r="D13" s="53">
        <f>+'Segment  2007 Qtr'!I15</f>
        <v>60</v>
      </c>
      <c r="F13" s="53">
        <v>64</v>
      </c>
      <c r="G13" s="53"/>
      <c r="H13" s="53">
        <v>66</v>
      </c>
      <c r="I13" s="53"/>
      <c r="J13" s="53">
        <v>76</v>
      </c>
      <c r="K13" s="53"/>
      <c r="L13" s="53">
        <v>71</v>
      </c>
      <c r="M13" s="53"/>
      <c r="N13" s="53">
        <f t="shared" si="0"/>
        <v>190</v>
      </c>
      <c r="O13" s="40"/>
      <c r="P13" s="53">
        <v>227</v>
      </c>
      <c r="Q13" s="53"/>
      <c r="R13" s="63">
        <v>303</v>
      </c>
      <c r="S13" s="53"/>
      <c r="T13" s="38"/>
      <c r="U13" s="38"/>
    </row>
    <row r="14" spans="3:21" ht="11.25" customHeight="1">
      <c r="C14" s="1" t="s">
        <v>127</v>
      </c>
      <c r="D14" s="53">
        <f>+'Segment  2007 Qtr'!I16</f>
        <v>14</v>
      </c>
      <c r="E14" s="79"/>
      <c r="F14" s="53">
        <v>16</v>
      </c>
      <c r="G14" s="53"/>
      <c r="H14" s="53">
        <v>17</v>
      </c>
      <c r="I14" s="53"/>
      <c r="J14" s="53">
        <v>14</v>
      </c>
      <c r="K14" s="53"/>
      <c r="L14" s="53">
        <v>16</v>
      </c>
      <c r="M14" s="53"/>
      <c r="N14" s="53">
        <f t="shared" si="0"/>
        <v>47</v>
      </c>
      <c r="O14" s="85"/>
      <c r="P14" s="53">
        <v>48</v>
      </c>
      <c r="Q14" s="53"/>
      <c r="R14" s="63">
        <v>62</v>
      </c>
      <c r="S14" s="53"/>
      <c r="T14" s="38"/>
      <c r="U14" s="38"/>
    </row>
    <row r="15" spans="3:21" ht="11.25" customHeight="1">
      <c r="C15" s="1" t="s">
        <v>55</v>
      </c>
      <c r="D15" s="437">
        <f>+D11-D12-D13-D14</f>
        <v>84</v>
      </c>
      <c r="F15" s="437">
        <f>+F11-F12-F13-F14</f>
        <v>82</v>
      </c>
      <c r="G15" s="257"/>
      <c r="H15" s="437">
        <f>+H11-H12-H13-H14</f>
        <v>75</v>
      </c>
      <c r="I15" s="257"/>
      <c r="J15" s="257">
        <f>+J11-J12-J13-J14</f>
        <v>96</v>
      </c>
      <c r="K15" s="257"/>
      <c r="L15" s="257">
        <f>+L11-L12-L13-L14</f>
        <v>90</v>
      </c>
      <c r="M15" s="257"/>
      <c r="N15" s="257">
        <f>+N11-N12-N13-N14</f>
        <v>241</v>
      </c>
      <c r="O15" s="257"/>
      <c r="P15" s="257">
        <f>+P11-P12-P13-P14</f>
        <v>266</v>
      </c>
      <c r="Q15" s="257"/>
      <c r="R15" s="257">
        <f>+R11-R12-R13-R14</f>
        <v>362</v>
      </c>
      <c r="S15" s="336"/>
      <c r="T15" s="336"/>
      <c r="U15" s="336"/>
    </row>
    <row r="16" spans="4:21" ht="7.5" customHeight="1">
      <c r="D16" s="419"/>
      <c r="F16" s="419"/>
      <c r="G16" s="364"/>
      <c r="H16" s="419"/>
      <c r="I16" s="364"/>
      <c r="J16" s="364"/>
      <c r="K16" s="364"/>
      <c r="L16" s="364"/>
      <c r="M16" s="364"/>
      <c r="N16" s="364"/>
      <c r="O16" s="126"/>
      <c r="P16" s="364"/>
      <c r="Q16" s="364"/>
      <c r="R16" s="38"/>
      <c r="S16" s="364"/>
      <c r="T16" s="38"/>
      <c r="U16" s="38"/>
    </row>
    <row r="17" spans="3:21" ht="11.25">
      <c r="C17" s="1" t="s">
        <v>121</v>
      </c>
      <c r="D17" s="53">
        <f>+'Segment  2007 Qtr'!I19</f>
        <v>69</v>
      </c>
      <c r="F17" s="53">
        <v>66</v>
      </c>
      <c r="G17" s="53"/>
      <c r="H17" s="53">
        <v>66</v>
      </c>
      <c r="I17" s="53"/>
      <c r="J17" s="53">
        <v>62</v>
      </c>
      <c r="K17" s="53"/>
      <c r="L17" s="53">
        <v>56</v>
      </c>
      <c r="M17" s="53"/>
      <c r="N17" s="53">
        <f>+H17+F17+D17</f>
        <v>201</v>
      </c>
      <c r="O17" s="53"/>
      <c r="P17" s="53">
        <v>159</v>
      </c>
      <c r="Q17" s="53"/>
      <c r="R17" s="63">
        <v>221</v>
      </c>
      <c r="S17" s="53"/>
      <c r="T17" s="38"/>
      <c r="U17" s="38"/>
    </row>
    <row r="18" spans="3:21" ht="11.25">
      <c r="C18" s="172" t="s">
        <v>166</v>
      </c>
      <c r="D18" s="53">
        <f>+'Segment  2007 Qtr'!I20</f>
        <v>25</v>
      </c>
      <c r="E18" s="172"/>
      <c r="F18" s="53">
        <v>-7</v>
      </c>
      <c r="G18" s="53"/>
      <c r="H18" s="53">
        <v>6</v>
      </c>
      <c r="I18" s="53"/>
      <c r="J18" s="53">
        <v>17</v>
      </c>
      <c r="K18" s="53"/>
      <c r="L18" s="53">
        <v>2</v>
      </c>
      <c r="M18" s="53"/>
      <c r="N18" s="53">
        <f>+H18+F18+D18</f>
        <v>24</v>
      </c>
      <c r="O18" s="53"/>
      <c r="P18" s="53">
        <v>-7</v>
      </c>
      <c r="Q18" s="53"/>
      <c r="R18" s="63">
        <v>10</v>
      </c>
      <c r="S18" s="53"/>
      <c r="T18" s="38"/>
      <c r="U18" s="38"/>
    </row>
    <row r="19" spans="3:21" ht="11.25">
      <c r="C19" s="1" t="s">
        <v>139</v>
      </c>
      <c r="D19" s="53">
        <f>+'Segment  2007 Qtr'!I21</f>
        <v>0</v>
      </c>
      <c r="F19" s="53">
        <v>0</v>
      </c>
      <c r="G19" s="53"/>
      <c r="H19" s="53">
        <v>0</v>
      </c>
      <c r="I19" s="53"/>
      <c r="J19" s="53">
        <v>0</v>
      </c>
      <c r="K19" s="53"/>
      <c r="L19" s="53">
        <v>0</v>
      </c>
      <c r="M19" s="53"/>
      <c r="N19" s="53">
        <f>+H19+F19+D19</f>
        <v>0</v>
      </c>
      <c r="O19" s="53"/>
      <c r="P19" s="53">
        <v>0</v>
      </c>
      <c r="Q19" s="53"/>
      <c r="R19" s="53">
        <v>0</v>
      </c>
      <c r="S19" s="53"/>
      <c r="T19" s="53"/>
      <c r="U19" s="53"/>
    </row>
    <row r="20" spans="3:21" ht="11.25">
      <c r="C20" s="1" t="s">
        <v>245</v>
      </c>
      <c r="D20" s="53">
        <f>+'Segment  2007 Qtr'!I22</f>
        <v>0</v>
      </c>
      <c r="F20" s="53">
        <v>2</v>
      </c>
      <c r="G20" s="53"/>
      <c r="H20" s="53">
        <v>1</v>
      </c>
      <c r="I20" s="53"/>
      <c r="J20" s="53">
        <v>2</v>
      </c>
      <c r="K20" s="53"/>
      <c r="L20" s="53">
        <v>1</v>
      </c>
      <c r="M20" s="53"/>
      <c r="N20" s="53">
        <f>+H20+F20+D20</f>
        <v>3</v>
      </c>
      <c r="O20" s="53"/>
      <c r="P20" s="53">
        <v>6</v>
      </c>
      <c r="Q20" s="53"/>
      <c r="R20" s="63">
        <v>8</v>
      </c>
      <c r="S20" s="53"/>
      <c r="T20" s="38"/>
      <c r="U20" s="38"/>
    </row>
    <row r="21" spans="3:21" ht="11.25">
      <c r="C21" s="171" t="s">
        <v>151</v>
      </c>
      <c r="D21" s="249">
        <f>+'Segment  2007 Qtr'!I23</f>
        <v>11</v>
      </c>
      <c r="E21" s="453"/>
      <c r="F21" s="249">
        <v>7</v>
      </c>
      <c r="G21" s="249"/>
      <c r="H21" s="249">
        <v>7</v>
      </c>
      <c r="I21" s="249"/>
      <c r="J21" s="249">
        <v>9</v>
      </c>
      <c r="K21" s="249"/>
      <c r="L21" s="249">
        <v>9</v>
      </c>
      <c r="M21" s="249"/>
      <c r="N21" s="53">
        <f>+H21+F21+D21</f>
        <v>25</v>
      </c>
      <c r="O21" s="249"/>
      <c r="P21" s="63">
        <v>29</v>
      </c>
      <c r="Q21" s="63"/>
      <c r="R21" s="63">
        <v>38</v>
      </c>
      <c r="S21" s="53"/>
      <c r="T21" s="38"/>
      <c r="U21" s="38"/>
    </row>
    <row r="22" spans="3:21" ht="11.25">
      <c r="C22" s="171" t="s">
        <v>5</v>
      </c>
      <c r="D22" s="438">
        <f>+D15+D17+D18-D20-D19-D21</f>
        <v>167</v>
      </c>
      <c r="E22" s="171"/>
      <c r="F22" s="438">
        <f>+F15+F17+F18-F20-F19-F21</f>
        <v>132</v>
      </c>
      <c r="G22" s="336"/>
      <c r="H22" s="438">
        <f>+H15+H17+H18-H20-H19-H21</f>
        <v>139</v>
      </c>
      <c r="I22" s="336"/>
      <c r="J22" s="438">
        <f>+J15+J17+J18-J20-J19-J21</f>
        <v>164</v>
      </c>
      <c r="K22" s="53"/>
      <c r="L22" s="438">
        <f>+L15+L17+L18-L20-L19-L21</f>
        <v>138</v>
      </c>
      <c r="M22" s="53"/>
      <c r="N22" s="257">
        <f>+N15+N17+N18-N20-N19-N21</f>
        <v>438</v>
      </c>
      <c r="O22" s="336"/>
      <c r="P22" s="257">
        <f>+P15+P17+P18-P20-P19-P21</f>
        <v>383</v>
      </c>
      <c r="Q22" s="257"/>
      <c r="R22" s="257">
        <f>+R15+R17+R18-R20-R19-R21</f>
        <v>547</v>
      </c>
      <c r="S22" s="53"/>
      <c r="T22" s="438"/>
      <c r="U22" s="438"/>
    </row>
    <row r="23" spans="3:21" ht="7.5" customHeight="1">
      <c r="C23" s="171"/>
      <c r="D23" s="419"/>
      <c r="E23" s="171"/>
      <c r="F23" s="419"/>
      <c r="G23" s="364"/>
      <c r="H23" s="419"/>
      <c r="I23" s="364"/>
      <c r="J23" s="364"/>
      <c r="K23" s="364"/>
      <c r="L23" s="364"/>
      <c r="M23" s="364"/>
      <c r="N23" s="364"/>
      <c r="O23" s="418"/>
      <c r="P23" s="364"/>
      <c r="Q23" s="364"/>
      <c r="R23" s="63"/>
      <c r="S23" s="364"/>
      <c r="T23" s="38"/>
      <c r="U23" s="38"/>
    </row>
    <row r="24" spans="3:21" ht="11.25">
      <c r="C24" s="172" t="s">
        <v>166</v>
      </c>
      <c r="D24" s="53">
        <f>+'Segment  2007 Qtr'!I26</f>
        <v>25</v>
      </c>
      <c r="E24" s="172"/>
      <c r="F24" s="53">
        <v>-7</v>
      </c>
      <c r="G24" s="53"/>
      <c r="H24" s="53">
        <v>6</v>
      </c>
      <c r="I24" s="53"/>
      <c r="J24" s="53">
        <v>17</v>
      </c>
      <c r="K24" s="53"/>
      <c r="L24" s="53">
        <v>2</v>
      </c>
      <c r="M24" s="53"/>
      <c r="N24" s="53">
        <f>+H24+F24+D24</f>
        <v>24</v>
      </c>
      <c r="O24" s="53"/>
      <c r="P24" s="53">
        <v>-7</v>
      </c>
      <c r="Q24" s="53"/>
      <c r="R24" s="63">
        <v>10</v>
      </c>
      <c r="S24" s="53"/>
      <c r="T24" s="38"/>
      <c r="U24" s="38"/>
    </row>
    <row r="25" spans="3:21" ht="11.25">
      <c r="C25" s="172" t="s">
        <v>246</v>
      </c>
      <c r="D25" s="53">
        <f>+'Segment  2007 Qtr'!I28</f>
        <v>0</v>
      </c>
      <c r="E25" s="53"/>
      <c r="F25" s="53">
        <v>0</v>
      </c>
      <c r="G25" s="53"/>
      <c r="H25" s="53">
        <v>-1</v>
      </c>
      <c r="I25" s="53"/>
      <c r="J25" s="53">
        <v>1</v>
      </c>
      <c r="K25" s="53"/>
      <c r="L25" s="53">
        <v>-1</v>
      </c>
      <c r="M25" s="53"/>
      <c r="N25" s="53">
        <f>+H25+F25+D25</f>
        <v>-1</v>
      </c>
      <c r="O25" s="53"/>
      <c r="P25" s="53">
        <v>-2</v>
      </c>
      <c r="Q25" s="53"/>
      <c r="R25" s="63">
        <v>-1</v>
      </c>
      <c r="S25" s="53"/>
      <c r="T25" s="53"/>
      <c r="U25" s="53"/>
    </row>
    <row r="26" spans="3:21" ht="15.75" customHeight="1" thickBot="1">
      <c r="C26" s="200" t="s">
        <v>249</v>
      </c>
      <c r="D26" s="440">
        <f>+D22-D24+D25</f>
        <v>142</v>
      </c>
      <c r="E26" s="440"/>
      <c r="F26" s="440">
        <f>+F22-F24+F25</f>
        <v>139</v>
      </c>
      <c r="G26" s="379"/>
      <c r="H26" s="440">
        <f>+H22-H24+H25</f>
        <v>132</v>
      </c>
      <c r="I26" s="379"/>
      <c r="J26" s="379">
        <f>+J22-J24+J25</f>
        <v>148</v>
      </c>
      <c r="K26" s="379"/>
      <c r="L26" s="379">
        <f>+L22-L24+L25</f>
        <v>135</v>
      </c>
      <c r="M26" s="379"/>
      <c r="N26" s="379">
        <f>+N22-N24+N25</f>
        <v>413</v>
      </c>
      <c r="O26" s="379"/>
      <c r="P26" s="379">
        <f>+P22-P24+P25</f>
        <v>388</v>
      </c>
      <c r="Q26" s="379"/>
      <c r="R26" s="379">
        <f>+R22-R24+R25</f>
        <v>536</v>
      </c>
      <c r="S26" s="32"/>
      <c r="T26" s="32"/>
      <c r="U26" s="32"/>
    </row>
    <row r="27" spans="4:21" ht="12" thickTop="1">
      <c r="D27" s="42"/>
      <c r="E27" s="42"/>
      <c r="F27" s="42"/>
      <c r="G27" s="42"/>
      <c r="H27" s="42"/>
      <c r="I27" s="42"/>
      <c r="J27" s="42"/>
      <c r="K27" s="42"/>
      <c r="L27" s="42"/>
      <c r="M27" s="42"/>
      <c r="N27" s="42"/>
      <c r="O27" s="42"/>
      <c r="P27" s="42"/>
      <c r="Q27" s="42"/>
      <c r="R27" s="42"/>
      <c r="S27" s="42"/>
      <c r="T27" s="75"/>
      <c r="U27" s="75"/>
    </row>
    <row r="28" spans="3:21" ht="11.25">
      <c r="C28" s="178" t="s">
        <v>128</v>
      </c>
      <c r="D28" s="42"/>
      <c r="E28" s="178"/>
      <c r="F28" s="42"/>
      <c r="G28" s="42"/>
      <c r="H28" s="42"/>
      <c r="I28" s="42"/>
      <c r="J28" s="42"/>
      <c r="K28" s="42"/>
      <c r="L28" s="42"/>
      <c r="M28" s="42"/>
      <c r="N28" s="42"/>
      <c r="O28" s="42"/>
      <c r="P28" s="42"/>
      <c r="Q28" s="42"/>
      <c r="R28" s="42"/>
      <c r="S28" s="42"/>
      <c r="T28" s="75"/>
      <c r="U28" s="75"/>
    </row>
    <row r="29" spans="3:21" ht="11.25">
      <c r="C29" s="1" t="s">
        <v>167</v>
      </c>
      <c r="D29" s="16">
        <f>'Segment  2007 Qtr'!I55</f>
        <v>0.506</v>
      </c>
      <c r="F29" s="16">
        <v>0.501</v>
      </c>
      <c r="G29" s="368"/>
      <c r="H29" s="16">
        <v>0.538</v>
      </c>
      <c r="I29" s="368"/>
      <c r="J29" s="368">
        <v>0.509</v>
      </c>
      <c r="K29" s="420"/>
      <c r="L29" s="368">
        <v>0.525</v>
      </c>
      <c r="M29" s="368"/>
      <c r="N29" s="368">
        <f>+'Segment  2007 YTD'!I59</f>
        <v>0.516</v>
      </c>
      <c r="O29" s="16"/>
      <c r="P29" s="368">
        <v>0.522</v>
      </c>
      <c r="Q29" s="368"/>
      <c r="R29" s="368">
        <v>0.518</v>
      </c>
      <c r="S29" s="368"/>
      <c r="T29" s="420"/>
      <c r="U29" s="420"/>
    </row>
    <row r="30" spans="3:21" ht="11.25">
      <c r="C30" s="1" t="s">
        <v>168</v>
      </c>
      <c r="D30" s="16">
        <f>'Segment  2007 Qtr'!I56</f>
        <v>0.188</v>
      </c>
      <c r="F30" s="16">
        <v>0.199</v>
      </c>
      <c r="G30" s="368"/>
      <c r="H30" s="16">
        <v>0.192</v>
      </c>
      <c r="I30" s="368"/>
      <c r="J30" s="368">
        <v>0.201</v>
      </c>
      <c r="K30" s="420"/>
      <c r="L30" s="368">
        <v>0.19</v>
      </c>
      <c r="M30" s="368"/>
      <c r="N30" s="368">
        <f>+'Segment  2007 YTD'!I60</f>
        <v>0.193</v>
      </c>
      <c r="O30" s="16"/>
      <c r="P30" s="368">
        <v>0.201</v>
      </c>
      <c r="Q30" s="368"/>
      <c r="R30" s="368">
        <v>0.201</v>
      </c>
      <c r="S30" s="368"/>
      <c r="T30" s="420"/>
      <c r="U30" s="420"/>
    </row>
    <row r="31" spans="3:21" ht="11.25">
      <c r="C31" s="1" t="s">
        <v>169</v>
      </c>
      <c r="D31" s="16">
        <f>'Segment  2007 Qtr'!I57</f>
        <v>0.042</v>
      </c>
      <c r="E31" s="16"/>
      <c r="F31" s="16">
        <v>0.05</v>
      </c>
      <c r="G31" s="368"/>
      <c r="H31" s="16">
        <v>0.05</v>
      </c>
      <c r="I31" s="368"/>
      <c r="J31" s="368">
        <v>0.037</v>
      </c>
      <c r="K31" s="421"/>
      <c r="L31" s="368">
        <v>0.042</v>
      </c>
      <c r="M31" s="369"/>
      <c r="N31" s="368">
        <f>+'Segment  2007 YTD'!I61</f>
        <v>0.047</v>
      </c>
      <c r="O31" s="18"/>
      <c r="P31" s="368">
        <v>0.042</v>
      </c>
      <c r="Q31" s="368"/>
      <c r="R31" s="368">
        <v>0.041</v>
      </c>
      <c r="S31" s="368"/>
      <c r="T31" s="420"/>
      <c r="U31" s="420"/>
    </row>
    <row r="32" spans="3:21" ht="12" thickBot="1">
      <c r="C32" s="171" t="s">
        <v>54</v>
      </c>
      <c r="D32" s="179">
        <f>SUM(D29:D31)</f>
        <v>0.736</v>
      </c>
      <c r="E32" s="179"/>
      <c r="F32" s="179">
        <f>SUM(F29:F31)</f>
        <v>0.75</v>
      </c>
      <c r="G32" s="179"/>
      <c r="H32" s="179">
        <f>SUM(H29:H31)</f>
        <v>0.78</v>
      </c>
      <c r="I32" s="179"/>
      <c r="J32" s="179">
        <f>SUM(J29:J31)</f>
        <v>0.747</v>
      </c>
      <c r="K32" s="179"/>
      <c r="L32" s="179">
        <f>SUM(L29:L31)</f>
        <v>0.7570000000000001</v>
      </c>
      <c r="M32" s="179"/>
      <c r="N32" s="179">
        <f>SUM(N29:N31)</f>
        <v>0.7560000000000001</v>
      </c>
      <c r="O32" s="179"/>
      <c r="P32" s="179">
        <f>SUM(P29:P31)</f>
        <v>0.7650000000000001</v>
      </c>
      <c r="Q32" s="179"/>
      <c r="R32" s="179">
        <f>SUM(R29:R31)</f>
        <v>0.7600000000000001</v>
      </c>
      <c r="S32" s="17"/>
      <c r="T32" s="17"/>
      <c r="U32" s="17"/>
    </row>
    <row r="33" spans="4:21" ht="12" thickTop="1">
      <c r="D33" s="42"/>
      <c r="E33" s="42"/>
      <c r="F33" s="42"/>
      <c r="G33" s="42"/>
      <c r="H33" s="42"/>
      <c r="I33" s="42"/>
      <c r="J33" s="42"/>
      <c r="K33" s="42"/>
      <c r="L33" s="42"/>
      <c r="M33" s="42"/>
      <c r="N33" s="42"/>
      <c r="O33" s="42"/>
      <c r="P33" s="42"/>
      <c r="Q33" s="42"/>
      <c r="R33" s="42"/>
      <c r="S33" s="75"/>
      <c r="T33" s="75"/>
      <c r="U33" s="75"/>
    </row>
    <row r="34" spans="3:21" ht="11.25">
      <c r="C34" s="14" t="s">
        <v>231</v>
      </c>
      <c r="D34" s="30"/>
      <c r="E34" s="14"/>
      <c r="F34" s="30"/>
      <c r="G34" s="30"/>
      <c r="H34" s="30"/>
      <c r="I34" s="30"/>
      <c r="J34" s="30"/>
      <c r="K34" s="40"/>
      <c r="L34" s="30"/>
      <c r="M34" s="422"/>
      <c r="N34" s="422"/>
      <c r="O34" s="42"/>
      <c r="P34" s="422"/>
      <c r="Q34" s="422"/>
      <c r="R34" s="42"/>
      <c r="S34" s="422"/>
      <c r="T34" s="417"/>
      <c r="U34" s="417"/>
    </row>
    <row r="35" spans="3:21" ht="11.25">
      <c r="C35" s="1" t="s">
        <v>295</v>
      </c>
      <c r="D35" s="37">
        <v>13</v>
      </c>
      <c r="E35" s="42"/>
      <c r="F35" s="37">
        <v>7</v>
      </c>
      <c r="G35" s="37"/>
      <c r="H35" s="37">
        <v>19</v>
      </c>
      <c r="I35" s="37"/>
      <c r="J35" s="37">
        <v>6</v>
      </c>
      <c r="K35" s="31"/>
      <c r="L35" s="37">
        <v>3</v>
      </c>
      <c r="M35" s="37"/>
      <c r="N35" s="53">
        <f>+H35+F35+D35</f>
        <v>39</v>
      </c>
      <c r="O35" s="37"/>
      <c r="P35" s="37">
        <v>8</v>
      </c>
      <c r="Q35" s="37"/>
      <c r="R35" s="37">
        <v>14</v>
      </c>
      <c r="S35" s="37"/>
      <c r="T35" s="37"/>
      <c r="U35" s="37"/>
    </row>
    <row r="36" spans="3:21" ht="12.75" customHeight="1">
      <c r="C36" s="1" t="s">
        <v>311</v>
      </c>
      <c r="D36" s="37">
        <v>-10</v>
      </c>
      <c r="E36" s="42"/>
      <c r="F36" s="37">
        <v>-3</v>
      </c>
      <c r="G36" s="37"/>
      <c r="H36" s="37">
        <v>-7</v>
      </c>
      <c r="I36" s="37"/>
      <c r="J36" s="37">
        <v>-7</v>
      </c>
      <c r="K36" s="31"/>
      <c r="L36" s="37">
        <v>3</v>
      </c>
      <c r="M36" s="37"/>
      <c r="N36" s="53">
        <f>+H36+F36+D36</f>
        <v>-20</v>
      </c>
      <c r="O36" s="37"/>
      <c r="P36" s="37">
        <v>2</v>
      </c>
      <c r="Q36" s="37"/>
      <c r="R36" s="37">
        <v>-5</v>
      </c>
      <c r="S36" s="37"/>
      <c r="T36" s="37"/>
      <c r="U36" s="37"/>
    </row>
    <row r="37" spans="3:21" ht="11.25">
      <c r="C37" s="57"/>
      <c r="D37" s="37"/>
      <c r="E37" s="57"/>
      <c r="F37" s="37"/>
      <c r="G37" s="57"/>
      <c r="H37" s="423"/>
      <c r="I37" s="423"/>
      <c r="J37" s="42"/>
      <c r="K37" s="42"/>
      <c r="L37" s="42"/>
      <c r="M37" s="42"/>
      <c r="N37" s="42"/>
      <c r="O37" s="42"/>
      <c r="P37" s="42"/>
      <c r="Q37" s="42"/>
      <c r="R37" s="42"/>
      <c r="S37" s="42"/>
      <c r="T37" s="42"/>
      <c r="U37" s="42"/>
    </row>
    <row r="38" spans="3:7" ht="11.25">
      <c r="C38" s="526" t="str">
        <f>+'Financial Highlights'!C49</f>
        <v>(1) See page 21 Non-GAAP Financial Measures.</v>
      </c>
      <c r="D38" s="527"/>
      <c r="E38" s="527"/>
      <c r="F38" s="35"/>
      <c r="G38" s="35"/>
    </row>
    <row r="39" spans="3:5" ht="11.25">
      <c r="C39" s="42"/>
      <c r="D39" s="42"/>
      <c r="E39" s="42"/>
    </row>
  </sheetData>
  <mergeCells count="4">
    <mergeCell ref="C1:S1"/>
    <mergeCell ref="C2:S2"/>
    <mergeCell ref="C3:S3"/>
    <mergeCell ref="C4:S4"/>
  </mergeCells>
  <hyperlinks>
    <hyperlink ref="C38" location="'Reconciliation Non-GAAP'!A1" display="'Reconciliation Non-GAAP'!A1"/>
  </hyperlinks>
  <printOptions/>
  <pageMargins left="0.5" right="0.5" top="0.5" bottom="0.55" header="0.75" footer="0.3"/>
  <pageSetup fitToHeight="1" fitToWidth="1" horizontalDpi="600" verticalDpi="600" orientation="landscape" r:id="rId2"/>
  <headerFooter alignWithMargins="0">
    <oddFooter>&amp;L&amp;A&amp;R&amp;"Arial,Regular"&amp;8Page 9</oddFooter>
  </headerFooter>
  <drawing r:id="rId1"/>
</worksheet>
</file>

<file path=xl/worksheets/sheet12.xml><?xml version="1.0" encoding="utf-8"?>
<worksheet xmlns="http://schemas.openxmlformats.org/spreadsheetml/2006/main" xmlns:r="http://schemas.openxmlformats.org/officeDocument/2006/relationships">
  <sheetPr codeName="Sheet44">
    <pageSetUpPr fitToPage="1"/>
  </sheetPr>
  <dimension ref="B1:T50"/>
  <sheetViews>
    <sheetView zoomScaleSheetLayoutView="70" workbookViewId="0" topLeftCell="A1">
      <selection activeCell="A1" sqref="A1"/>
    </sheetView>
  </sheetViews>
  <sheetFormatPr defaultColWidth="9.33203125" defaultRowHeight="12.75"/>
  <cols>
    <col min="1" max="2" width="3.33203125" style="1" customWidth="1"/>
    <col min="3" max="3" width="42.33203125" style="1" customWidth="1"/>
    <col min="4" max="4" width="8.83203125" style="1" customWidth="1"/>
    <col min="5" max="5" width="2.33203125" style="1" customWidth="1"/>
    <col min="6" max="6" width="8.83203125" style="1" customWidth="1"/>
    <col min="7" max="7" width="2.33203125" style="1" customWidth="1"/>
    <col min="8" max="8" width="8.83203125" style="1" customWidth="1"/>
    <col min="9" max="9" width="2.33203125" style="1" customWidth="1"/>
    <col min="10" max="10" width="9.16015625" style="1" customWidth="1"/>
    <col min="11" max="11" width="2.33203125" style="1" customWidth="1"/>
    <col min="12" max="12" width="9.16015625" style="23" customWidth="1"/>
    <col min="13" max="13" width="2.33203125" style="23" customWidth="1"/>
    <col min="14" max="14" width="9.16015625" style="23" customWidth="1"/>
    <col min="15" max="15" width="2.33203125" style="23" customWidth="1"/>
    <col min="16" max="16" width="9.16015625" style="23" customWidth="1"/>
    <col min="17" max="17" width="2.33203125" style="23" customWidth="1"/>
    <col min="18" max="18" width="9.16015625" style="23" customWidth="1"/>
    <col min="19" max="19" width="2.33203125" style="23" customWidth="1"/>
    <col min="20" max="20" width="9.33203125" style="7" customWidth="1"/>
    <col min="21" max="22" width="8.83203125" style="0" customWidth="1"/>
    <col min="23" max="30" width="9" style="0" customWidth="1"/>
    <col min="31" max="16384" width="9" style="1" customWidth="1"/>
  </cols>
  <sheetData>
    <row r="1" spans="3:20" ht="12.75">
      <c r="C1" s="626" t="s">
        <v>89</v>
      </c>
      <c r="D1" s="626"/>
      <c r="E1" s="626"/>
      <c r="F1" s="626"/>
      <c r="G1" s="626"/>
      <c r="H1" s="626"/>
      <c r="I1" s="626"/>
      <c r="J1" s="626"/>
      <c r="K1" s="626"/>
      <c r="L1" s="626"/>
      <c r="M1" s="626"/>
      <c r="N1" s="626"/>
      <c r="O1" s="626"/>
      <c r="P1" s="626"/>
      <c r="Q1" s="626"/>
      <c r="R1" s="626"/>
      <c r="S1" s="626"/>
      <c r="T1" s="19"/>
    </row>
    <row r="2" spans="3:20" ht="12">
      <c r="C2" s="627" t="s">
        <v>241</v>
      </c>
      <c r="D2" s="627"/>
      <c r="E2" s="627"/>
      <c r="F2" s="627"/>
      <c r="G2" s="627"/>
      <c r="H2" s="627"/>
      <c r="I2" s="627"/>
      <c r="J2" s="627"/>
      <c r="K2" s="627"/>
      <c r="L2" s="627"/>
      <c r="M2" s="627"/>
      <c r="N2" s="627"/>
      <c r="O2" s="627"/>
      <c r="P2" s="627"/>
      <c r="Q2" s="627"/>
      <c r="R2" s="627"/>
      <c r="S2" s="627"/>
      <c r="T2" s="2"/>
    </row>
    <row r="3" spans="3:20" ht="12">
      <c r="C3" s="602" t="s">
        <v>147</v>
      </c>
      <c r="D3" s="602"/>
      <c r="E3" s="602"/>
      <c r="F3" s="602"/>
      <c r="G3" s="602"/>
      <c r="H3" s="602"/>
      <c r="I3" s="602"/>
      <c r="J3" s="602"/>
      <c r="K3" s="602"/>
      <c r="L3" s="602"/>
      <c r="M3" s="602"/>
      <c r="N3" s="602"/>
      <c r="O3" s="602"/>
      <c r="P3" s="602"/>
      <c r="Q3" s="602"/>
      <c r="R3" s="602"/>
      <c r="S3" s="602"/>
      <c r="T3" s="20"/>
    </row>
    <row r="4" spans="2:20" ht="12">
      <c r="B4" s="501"/>
      <c r="C4" s="602" t="s">
        <v>163</v>
      </c>
      <c r="D4" s="602"/>
      <c r="E4" s="602"/>
      <c r="F4" s="602"/>
      <c r="G4" s="602"/>
      <c r="H4" s="602"/>
      <c r="I4" s="602"/>
      <c r="J4" s="602"/>
      <c r="K4" s="602"/>
      <c r="L4" s="602"/>
      <c r="M4" s="602"/>
      <c r="N4" s="602"/>
      <c r="O4" s="602"/>
      <c r="P4" s="602"/>
      <c r="Q4" s="602"/>
      <c r="R4" s="602"/>
      <c r="S4" s="602"/>
      <c r="T4" s="20"/>
    </row>
    <row r="5" ht="6" customHeight="1"/>
    <row r="6" ht="11.25" customHeight="1">
      <c r="C6" s="501"/>
    </row>
    <row r="7" spans="3:20" ht="12.75">
      <c r="C7" s="3" t="s">
        <v>116</v>
      </c>
      <c r="D7" s="3"/>
      <c r="E7" s="3"/>
      <c r="F7" s="3"/>
      <c r="G7" s="3"/>
      <c r="H7" s="295"/>
      <c r="I7" s="295"/>
      <c r="J7" s="42"/>
      <c r="K7" s="42"/>
      <c r="L7" s="62"/>
      <c r="M7" s="62"/>
      <c r="N7" s="429" t="s">
        <v>255</v>
      </c>
      <c r="O7" s="405"/>
      <c r="P7" s="429" t="s">
        <v>255</v>
      </c>
      <c r="Q7" s="62"/>
      <c r="R7" s="416" t="s">
        <v>17</v>
      </c>
      <c r="S7" s="7"/>
      <c r="T7" s="429"/>
    </row>
    <row r="8" spans="4:20" ht="12.75">
      <c r="D8" s="4" t="s">
        <v>441</v>
      </c>
      <c r="E8" s="79"/>
      <c r="F8" s="4" t="s">
        <v>418</v>
      </c>
      <c r="G8" s="79"/>
      <c r="H8" s="4" t="s">
        <v>372</v>
      </c>
      <c r="I8" s="4"/>
      <c r="J8" s="60" t="s">
        <v>358</v>
      </c>
      <c r="K8" s="398"/>
      <c r="L8" s="60" t="s">
        <v>351</v>
      </c>
      <c r="M8" s="60"/>
      <c r="N8" s="22">
        <v>2007</v>
      </c>
      <c r="O8" s="79"/>
      <c r="P8" s="22">
        <v>2006</v>
      </c>
      <c r="Q8" s="60"/>
      <c r="R8" s="22">
        <v>2006</v>
      </c>
      <c r="S8" s="5"/>
      <c r="T8" s="477"/>
    </row>
    <row r="9" spans="3:20" ht="11.25" customHeight="1">
      <c r="C9" s="14" t="s">
        <v>13</v>
      </c>
      <c r="E9" s="14"/>
      <c r="H9" s="42"/>
      <c r="I9" s="42"/>
      <c r="J9" s="42"/>
      <c r="K9" s="42"/>
      <c r="L9" s="42"/>
      <c r="M9" s="42"/>
      <c r="N9" s="42"/>
      <c r="O9" s="42"/>
      <c r="P9" s="565"/>
      <c r="Q9" s="42"/>
      <c r="R9" s="42"/>
      <c r="S9" s="75"/>
      <c r="T9" s="75"/>
    </row>
    <row r="10" spans="3:20" ht="11.25" customHeight="1">
      <c r="C10" s="1" t="s">
        <v>125</v>
      </c>
      <c r="D10" s="228">
        <f>(+'Global Reinsurance '!D10/'Global Reinsurance '!L10)-1</f>
        <v>-0.24295774647887325</v>
      </c>
      <c r="E10" s="1"/>
      <c r="F10" s="228">
        <v>-0.2</v>
      </c>
      <c r="G10" s="228"/>
      <c r="H10" s="228">
        <v>-0.20666666666666667</v>
      </c>
      <c r="I10" s="228"/>
      <c r="J10" s="228">
        <v>-0.0905797101449275</v>
      </c>
      <c r="K10" s="228"/>
      <c r="L10" s="228">
        <v>-0.25</v>
      </c>
      <c r="M10" s="228"/>
      <c r="N10" s="228">
        <f>(+'Global Reinsurance '!N10/'Global Reinsurance '!P10)-1</f>
        <v>-0.21247113163972287</v>
      </c>
      <c r="O10" s="228"/>
      <c r="P10" s="228">
        <v>0.02</v>
      </c>
      <c r="Q10" s="228"/>
      <c r="R10" s="228">
        <v>0.002587322121604174</v>
      </c>
      <c r="S10" s="478"/>
      <c r="T10" s="478"/>
    </row>
    <row r="11" spans="3:20" ht="11.25" customHeight="1">
      <c r="C11" s="1" t="s">
        <v>18</v>
      </c>
      <c r="D11" s="228">
        <f>(+'Global Reinsurance '!D11/'Global Reinsurance '!L11)-1</f>
        <v>-0.14477211796246647</v>
      </c>
      <c r="E11" s="1"/>
      <c r="F11" s="228">
        <v>-0.16</v>
      </c>
      <c r="G11" s="228"/>
      <c r="H11" s="228">
        <v>-0.07547169811320753</v>
      </c>
      <c r="I11" s="228"/>
      <c r="J11" s="228">
        <v>-0.03797468354430378</v>
      </c>
      <c r="K11" s="228"/>
      <c r="L11" s="228">
        <v>-0.09</v>
      </c>
      <c r="M11" s="228"/>
      <c r="N11" s="228">
        <f>(+'Global Reinsurance '!N11/'Global Reinsurance '!P11)-1</f>
        <v>-0.12732095490716178</v>
      </c>
      <c r="O11" s="228"/>
      <c r="P11" s="228">
        <v>0</v>
      </c>
      <c r="Q11" s="228"/>
      <c r="R11" s="228">
        <v>-0.013063357282821708</v>
      </c>
      <c r="S11" s="478"/>
      <c r="T11" s="478"/>
    </row>
    <row r="12" spans="4:20" ht="7.5" customHeight="1">
      <c r="D12" s="228"/>
      <c r="F12" s="228"/>
      <c r="G12" s="228"/>
      <c r="H12" s="228"/>
      <c r="I12" s="228"/>
      <c r="J12" s="228"/>
      <c r="K12" s="228"/>
      <c r="L12" s="228"/>
      <c r="M12" s="228"/>
      <c r="N12" s="228"/>
      <c r="O12" s="228"/>
      <c r="P12" s="228"/>
      <c r="Q12" s="228"/>
      <c r="R12" s="228"/>
      <c r="S12" s="478"/>
      <c r="T12" s="478"/>
    </row>
    <row r="13" spans="3:20" ht="11.25" customHeight="1">
      <c r="C13" s="14" t="s">
        <v>14</v>
      </c>
      <c r="D13" s="228"/>
      <c r="E13" s="14"/>
      <c r="F13" s="228"/>
      <c r="G13" s="228"/>
      <c r="H13" s="228"/>
      <c r="I13" s="228"/>
      <c r="J13" s="228"/>
      <c r="K13" s="228"/>
      <c r="L13" s="228"/>
      <c r="M13" s="228"/>
      <c r="N13" s="228"/>
      <c r="O13" s="228"/>
      <c r="P13" s="228"/>
      <c r="Q13" s="228"/>
      <c r="R13" s="228"/>
      <c r="S13" s="478"/>
      <c r="T13" s="478"/>
    </row>
    <row r="14" spans="3:20" ht="11.25" customHeight="1">
      <c r="C14" s="1" t="s">
        <v>53</v>
      </c>
      <c r="D14" s="228">
        <f>+'Global Reinsurance '!D10/'Global Reinsurance '!D9</f>
        <v>0.9429824561403509</v>
      </c>
      <c r="E14" s="1"/>
      <c r="F14" s="228">
        <v>0.991044776119403</v>
      </c>
      <c r="G14" s="228"/>
      <c r="H14" s="228">
        <v>0.99581589958159</v>
      </c>
      <c r="I14" s="228"/>
      <c r="J14" s="228">
        <v>0.984313725490196</v>
      </c>
      <c r="K14" s="228"/>
      <c r="L14" s="228">
        <v>0.98</v>
      </c>
      <c r="M14" s="228"/>
      <c r="N14" s="228">
        <f>+'Global Reinsurance '!N10/'Global Reinsurance '!N9</f>
        <v>0.9827089337175793</v>
      </c>
      <c r="O14" s="228"/>
      <c r="P14" s="228">
        <f>+'Global Reinsurance '!P10/'Global Reinsurance '!P9</f>
        <v>0.9900914634146342</v>
      </c>
      <c r="Q14" s="228"/>
      <c r="R14" s="228">
        <f>+'Global Reinsurance '!R10/'Global Reinsurance '!R9</f>
        <v>0.9891512444160817</v>
      </c>
      <c r="S14" s="478"/>
      <c r="T14" s="478"/>
    </row>
    <row r="15" spans="19:20" ht="6.75" customHeight="1">
      <c r="S15" s="159"/>
      <c r="T15" s="159"/>
    </row>
    <row r="16" spans="3:19" ht="12.75">
      <c r="C16" s="42"/>
      <c r="D16" s="23"/>
      <c r="E16" s="42"/>
      <c r="F16" s="23"/>
      <c r="G16" s="23"/>
      <c r="H16" s="23"/>
      <c r="I16" s="23"/>
      <c r="L16" s="1"/>
      <c r="M16" s="1"/>
      <c r="N16" s="1"/>
      <c r="O16" s="1"/>
      <c r="P16" s="1"/>
      <c r="Q16" s="1"/>
      <c r="R16" s="1"/>
      <c r="S16" s="7"/>
    </row>
    <row r="17" spans="3:19" ht="12.75">
      <c r="C17" s="3" t="s">
        <v>223</v>
      </c>
      <c r="E17" s="3"/>
      <c r="L17" s="1"/>
      <c r="M17" s="1"/>
      <c r="N17" s="429" t="s">
        <v>255</v>
      </c>
      <c r="O17" s="405"/>
      <c r="P17" s="429" t="s">
        <v>255</v>
      </c>
      <c r="Q17" s="1"/>
      <c r="R17" s="416" t="str">
        <f>+R7</f>
        <v>Full Year</v>
      </c>
      <c r="S17" s="7"/>
    </row>
    <row r="18" spans="4:20" ht="11.25" customHeight="1">
      <c r="D18" s="4" t="str">
        <f>D8</f>
        <v>3Q-07</v>
      </c>
      <c r="E18" s="79"/>
      <c r="F18" s="4" t="str">
        <f>F8</f>
        <v>2Q-07</v>
      </c>
      <c r="G18" s="79"/>
      <c r="H18" s="4" t="str">
        <f>H8</f>
        <v>1Q-07</v>
      </c>
      <c r="I18" s="79"/>
      <c r="J18" s="4" t="str">
        <f>J8</f>
        <v>4Q-06</v>
      </c>
      <c r="K18" s="4"/>
      <c r="L18" s="4" t="str">
        <f>L8</f>
        <v>3Q-06</v>
      </c>
      <c r="M18" s="60"/>
      <c r="N18" s="22">
        <v>2007</v>
      </c>
      <c r="O18" s="79"/>
      <c r="P18" s="22">
        <v>2006</v>
      </c>
      <c r="Q18" s="60"/>
      <c r="R18" s="22">
        <f>R8</f>
        <v>2006</v>
      </c>
      <c r="S18" s="5"/>
      <c r="T18" s="75"/>
    </row>
    <row r="19" spans="3:20" ht="11.25" customHeight="1">
      <c r="C19" s="178" t="s">
        <v>124</v>
      </c>
      <c r="D19" s="5"/>
      <c r="E19" s="7"/>
      <c r="F19" s="5"/>
      <c r="G19" s="7"/>
      <c r="H19" s="5"/>
      <c r="I19" s="5"/>
      <c r="J19" s="405"/>
      <c r="K19" s="75"/>
      <c r="L19" s="405"/>
      <c r="M19" s="405"/>
      <c r="N19" s="405"/>
      <c r="O19" s="405"/>
      <c r="P19" s="405"/>
      <c r="Q19" s="405"/>
      <c r="R19" s="477"/>
      <c r="S19" s="405"/>
      <c r="T19" s="75"/>
    </row>
    <row r="20" spans="3:20" ht="11.25" customHeight="1">
      <c r="C20" s="1" t="s">
        <v>400</v>
      </c>
      <c r="D20" s="58">
        <v>51</v>
      </c>
      <c r="F20" s="58">
        <v>121</v>
      </c>
      <c r="H20" s="58">
        <v>174</v>
      </c>
      <c r="I20" s="58"/>
      <c r="J20" s="58">
        <v>16</v>
      </c>
      <c r="K20" s="37"/>
      <c r="L20" s="37">
        <v>53</v>
      </c>
      <c r="M20" s="37"/>
      <c r="N20" s="37">
        <f>+H20+F20+D20</f>
        <v>346</v>
      </c>
      <c r="O20" s="37"/>
      <c r="P20" s="37">
        <v>370</v>
      </c>
      <c r="Q20" s="37"/>
      <c r="R20" s="37">
        <v>386</v>
      </c>
      <c r="S20" s="405"/>
      <c r="T20" s="75"/>
    </row>
    <row r="21" spans="3:20" ht="11.25" customHeight="1">
      <c r="C21" s="1" t="s">
        <v>399</v>
      </c>
      <c r="D21" s="400">
        <v>134</v>
      </c>
      <c r="F21" s="400">
        <v>175</v>
      </c>
      <c r="H21" s="400">
        <v>188</v>
      </c>
      <c r="I21" s="400"/>
      <c r="J21" s="400">
        <v>181</v>
      </c>
      <c r="K21" s="401"/>
      <c r="L21" s="401">
        <v>178</v>
      </c>
      <c r="M21" s="401"/>
      <c r="N21" s="401">
        <f>+H21+F21+D21</f>
        <v>497</v>
      </c>
      <c r="O21" s="401"/>
      <c r="P21" s="401">
        <v>722</v>
      </c>
      <c r="Q21" s="401"/>
      <c r="R21" s="400">
        <v>903</v>
      </c>
      <c r="S21" s="405"/>
      <c r="T21" s="75"/>
    </row>
    <row r="22" spans="3:20" ht="11.25" customHeight="1">
      <c r="C22" s="1" t="s">
        <v>398</v>
      </c>
      <c r="D22" s="400">
        <v>39</v>
      </c>
      <c r="F22" s="400">
        <v>35</v>
      </c>
      <c r="H22" s="400">
        <v>112</v>
      </c>
      <c r="I22" s="400"/>
      <c r="J22" s="400">
        <v>58</v>
      </c>
      <c r="K22" s="401"/>
      <c r="L22" s="401">
        <v>60</v>
      </c>
      <c r="M22" s="401"/>
      <c r="N22" s="401">
        <f>+H22+F22+D22</f>
        <v>186</v>
      </c>
      <c r="O22" s="401"/>
      <c r="P22" s="401">
        <v>220</v>
      </c>
      <c r="Q22" s="401"/>
      <c r="R22" s="400">
        <v>278</v>
      </c>
      <c r="S22" s="405"/>
      <c r="T22" s="75"/>
    </row>
    <row r="23" spans="3:20" ht="12.75">
      <c r="C23" s="1" t="s">
        <v>401</v>
      </c>
      <c r="D23" s="400">
        <v>4</v>
      </c>
      <c r="F23" s="400">
        <v>4</v>
      </c>
      <c r="H23" s="400">
        <v>4</v>
      </c>
      <c r="I23" s="400"/>
      <c r="J23" s="400">
        <v>0</v>
      </c>
      <c r="K23" s="401"/>
      <c r="L23" s="401">
        <v>0</v>
      </c>
      <c r="M23" s="401"/>
      <c r="N23" s="401">
        <f>+H23+F23+D23</f>
        <v>12</v>
      </c>
      <c r="O23" s="401"/>
      <c r="P23" s="401">
        <v>0</v>
      </c>
      <c r="Q23" s="401"/>
      <c r="R23" s="400">
        <v>0</v>
      </c>
      <c r="S23" s="39"/>
      <c r="T23" s="38"/>
    </row>
    <row r="24" spans="3:20" ht="13.5" customHeight="1" thickBot="1">
      <c r="C24" s="184" t="s">
        <v>6</v>
      </c>
      <c r="D24" s="402">
        <f>+SUM(D20:D23)</f>
        <v>228</v>
      </c>
      <c r="E24" s="402"/>
      <c r="F24" s="402">
        <f>+SUM(F20:F23)</f>
        <v>335</v>
      </c>
      <c r="G24" s="402"/>
      <c r="H24" s="402">
        <f>+SUM(H20:H23)</f>
        <v>478</v>
      </c>
      <c r="I24" s="402"/>
      <c r="J24" s="402">
        <f>+SUM(J20:J23)</f>
        <v>255</v>
      </c>
      <c r="K24" s="402"/>
      <c r="L24" s="402">
        <f>+SUM(L20:L23)</f>
        <v>291</v>
      </c>
      <c r="M24" s="402"/>
      <c r="N24" s="402">
        <f>+SUM(N20:N23)</f>
        <v>1041</v>
      </c>
      <c r="O24" s="402"/>
      <c r="P24" s="402">
        <f>+SUM(P20:P23)</f>
        <v>1312</v>
      </c>
      <c r="Q24" s="402"/>
      <c r="R24" s="402">
        <f>+SUM(R20:R23)</f>
        <v>1567</v>
      </c>
      <c r="S24" s="546"/>
      <c r="T24" s="229"/>
    </row>
    <row r="25" spans="4:20" ht="6.75" customHeight="1" thickTop="1">
      <c r="D25" s="38"/>
      <c r="F25" s="38"/>
      <c r="H25" s="38"/>
      <c r="I25" s="38"/>
      <c r="J25" s="38"/>
      <c r="K25" s="38"/>
      <c r="L25" s="38"/>
      <c r="M25" s="336"/>
      <c r="N25" s="336"/>
      <c r="O25" s="336"/>
      <c r="P25" s="336"/>
      <c r="Q25" s="336"/>
      <c r="R25" s="85"/>
      <c r="S25" s="336"/>
      <c r="T25" s="364"/>
    </row>
    <row r="26" spans="3:20" ht="11.25" customHeight="1">
      <c r="C26" s="178" t="s">
        <v>125</v>
      </c>
      <c r="D26" s="33"/>
      <c r="E26" s="178"/>
      <c r="F26" s="33"/>
      <c r="G26" s="178"/>
      <c r="H26" s="33"/>
      <c r="I26" s="33"/>
      <c r="J26" s="42"/>
      <c r="K26" s="42"/>
      <c r="L26" s="42"/>
      <c r="M26" s="42"/>
      <c r="N26" s="42"/>
      <c r="O26" s="42"/>
      <c r="P26" s="42"/>
      <c r="Q26" s="42"/>
      <c r="R26" s="42"/>
      <c r="S26" s="75"/>
      <c r="T26" s="75"/>
    </row>
    <row r="27" spans="3:20" ht="11.25" customHeight="1">
      <c r="C27" s="1" t="s">
        <v>400</v>
      </c>
      <c r="D27" s="58">
        <v>40</v>
      </c>
      <c r="F27" s="58">
        <v>120</v>
      </c>
      <c r="H27" s="58">
        <v>174</v>
      </c>
      <c r="I27" s="58"/>
      <c r="J27" s="58">
        <v>13</v>
      </c>
      <c r="K27" s="37"/>
      <c r="L27" s="37">
        <v>49</v>
      </c>
      <c r="M27" s="37"/>
      <c r="N27" s="37">
        <f>+H27+F27+D27</f>
        <v>334</v>
      </c>
      <c r="O27" s="37"/>
      <c r="P27" s="37">
        <v>366</v>
      </c>
      <c r="Q27" s="37"/>
      <c r="R27" s="37">
        <v>379</v>
      </c>
      <c r="S27" s="75"/>
      <c r="T27" s="75"/>
    </row>
    <row r="28" spans="3:20" ht="11.25" customHeight="1">
      <c r="C28" s="1" t="s">
        <v>399</v>
      </c>
      <c r="D28" s="400">
        <v>134</v>
      </c>
      <c r="F28" s="400">
        <v>175</v>
      </c>
      <c r="H28" s="400">
        <v>188</v>
      </c>
      <c r="I28" s="400"/>
      <c r="J28" s="400">
        <v>181</v>
      </c>
      <c r="K28" s="401"/>
      <c r="L28" s="401">
        <v>177</v>
      </c>
      <c r="M28" s="401"/>
      <c r="N28" s="401">
        <f>+H28+F28+D28</f>
        <v>497</v>
      </c>
      <c r="O28" s="401"/>
      <c r="P28" s="401">
        <v>721</v>
      </c>
      <c r="Q28" s="401"/>
      <c r="R28" s="400">
        <v>902</v>
      </c>
      <c r="S28" s="75"/>
      <c r="T28" s="75"/>
    </row>
    <row r="29" spans="3:20" ht="11.25" customHeight="1">
      <c r="C29" s="1" t="s">
        <v>398</v>
      </c>
      <c r="D29" s="400">
        <v>37</v>
      </c>
      <c r="F29" s="400">
        <v>33</v>
      </c>
      <c r="H29" s="400">
        <v>110</v>
      </c>
      <c r="I29" s="400"/>
      <c r="J29" s="400">
        <v>57</v>
      </c>
      <c r="K29" s="401"/>
      <c r="L29" s="401">
        <v>58</v>
      </c>
      <c r="M29" s="401"/>
      <c r="N29" s="401">
        <f>+H29+F29+D29</f>
        <v>180</v>
      </c>
      <c r="O29" s="401"/>
      <c r="P29" s="401">
        <v>212</v>
      </c>
      <c r="Q29" s="401"/>
      <c r="R29" s="400">
        <v>269</v>
      </c>
      <c r="S29" s="59"/>
      <c r="T29" s="59"/>
    </row>
    <row r="30" spans="3:20" ht="12.75">
      <c r="C30" s="1" t="s">
        <v>401</v>
      </c>
      <c r="D30" s="400">
        <v>4</v>
      </c>
      <c r="F30" s="400">
        <v>4</v>
      </c>
      <c r="H30" s="400">
        <v>4</v>
      </c>
      <c r="I30" s="400"/>
      <c r="J30" s="400">
        <v>0</v>
      </c>
      <c r="K30" s="401"/>
      <c r="L30" s="401">
        <v>0</v>
      </c>
      <c r="M30" s="401"/>
      <c r="N30" s="401">
        <f>+H30+F30+D30</f>
        <v>12</v>
      </c>
      <c r="O30" s="401"/>
      <c r="P30" s="401">
        <v>0</v>
      </c>
      <c r="Q30" s="401"/>
      <c r="R30" s="400">
        <v>0</v>
      </c>
      <c r="S30" s="39"/>
      <c r="T30" s="38"/>
    </row>
    <row r="31" spans="3:20" ht="13.5" thickBot="1">
      <c r="C31" s="184" t="s">
        <v>6</v>
      </c>
      <c r="D31" s="402">
        <f>+SUM(D27:D30)</f>
        <v>215</v>
      </c>
      <c r="E31" s="402"/>
      <c r="F31" s="402">
        <f>+SUM(F27:F30)</f>
        <v>332</v>
      </c>
      <c r="G31" s="402"/>
      <c r="H31" s="402">
        <f>+SUM(H27:H30)</f>
        <v>476</v>
      </c>
      <c r="I31" s="402"/>
      <c r="J31" s="402">
        <f>+SUM(J27:J30)</f>
        <v>251</v>
      </c>
      <c r="K31" s="402"/>
      <c r="L31" s="402">
        <f>+SUM(L27:L30)</f>
        <v>284</v>
      </c>
      <c r="M31" s="402"/>
      <c r="N31" s="402">
        <f>+SUM(N27:N30)</f>
        <v>1023</v>
      </c>
      <c r="O31" s="402"/>
      <c r="P31" s="402">
        <f>+SUM(P27:P30)</f>
        <v>1299</v>
      </c>
      <c r="Q31" s="402"/>
      <c r="R31" s="402">
        <f>+SUM(R27:R30)</f>
        <v>1550</v>
      </c>
      <c r="S31" s="546"/>
      <c r="T31" s="229"/>
    </row>
    <row r="32" spans="3:20" ht="7.5" customHeight="1" thickTop="1">
      <c r="C32" s="55"/>
      <c r="D32" s="85"/>
      <c r="E32" s="55"/>
      <c r="F32" s="85"/>
      <c r="G32" s="55"/>
      <c r="H32" s="85"/>
      <c r="I32" s="85"/>
      <c r="J32" s="85"/>
      <c r="K32" s="38"/>
      <c r="L32" s="85"/>
      <c r="M32" s="362"/>
      <c r="N32" s="362"/>
      <c r="O32" s="362"/>
      <c r="P32" s="362"/>
      <c r="Q32" s="362"/>
      <c r="R32" s="38"/>
      <c r="S32" s="362"/>
      <c r="T32" s="365"/>
    </row>
    <row r="33" spans="3:20" ht="12.75">
      <c r="C33" s="178" t="s">
        <v>126</v>
      </c>
      <c r="D33" s="40"/>
      <c r="E33" s="178"/>
      <c r="F33" s="40"/>
      <c r="G33" s="178"/>
      <c r="H33" s="40"/>
      <c r="I33" s="40"/>
      <c r="J33" s="42"/>
      <c r="K33" s="42"/>
      <c r="L33" s="42"/>
      <c r="M33" s="42"/>
      <c r="N33" s="42"/>
      <c r="O33" s="42"/>
      <c r="P33" s="42"/>
      <c r="Q33" s="42"/>
      <c r="R33" s="42"/>
      <c r="S33" s="42"/>
      <c r="T33" s="75"/>
    </row>
    <row r="34" spans="3:20" ht="12.75">
      <c r="C34" s="1" t="s">
        <v>400</v>
      </c>
      <c r="D34" s="58">
        <v>90</v>
      </c>
      <c r="F34" s="58">
        <v>87</v>
      </c>
      <c r="H34" s="58">
        <v>88</v>
      </c>
      <c r="I34" s="58"/>
      <c r="J34" s="58">
        <v>96</v>
      </c>
      <c r="K34" s="37"/>
      <c r="L34" s="37">
        <v>97</v>
      </c>
      <c r="M34" s="37"/>
      <c r="N34" s="37">
        <f>+H34+F34+D34</f>
        <v>265</v>
      </c>
      <c r="O34" s="37"/>
      <c r="P34" s="37">
        <v>271</v>
      </c>
      <c r="Q34" s="37"/>
      <c r="R34" s="37">
        <v>367</v>
      </c>
      <c r="S34" s="42"/>
      <c r="T34" s="75"/>
    </row>
    <row r="35" spans="3:20" ht="12.75">
      <c r="C35" s="1" t="s">
        <v>399</v>
      </c>
      <c r="D35" s="400">
        <v>167</v>
      </c>
      <c r="F35" s="400">
        <v>177</v>
      </c>
      <c r="H35" s="400">
        <v>187</v>
      </c>
      <c r="I35" s="400"/>
      <c r="J35" s="400">
        <v>216</v>
      </c>
      <c r="K35" s="401"/>
      <c r="L35" s="401">
        <v>210</v>
      </c>
      <c r="M35" s="401"/>
      <c r="N35" s="401">
        <f>+H35+F35+D35</f>
        <v>531</v>
      </c>
      <c r="O35" s="401"/>
      <c r="P35" s="401">
        <v>656</v>
      </c>
      <c r="Q35" s="401"/>
      <c r="R35" s="400">
        <v>872</v>
      </c>
      <c r="S35" s="42"/>
      <c r="T35" s="75"/>
    </row>
    <row r="36" spans="3:20" ht="12.75">
      <c r="C36" s="1" t="s">
        <v>398</v>
      </c>
      <c r="D36" s="400">
        <v>59</v>
      </c>
      <c r="F36" s="400">
        <v>60</v>
      </c>
      <c r="H36" s="400">
        <v>67</v>
      </c>
      <c r="I36" s="400"/>
      <c r="J36" s="400">
        <v>68</v>
      </c>
      <c r="K36" s="401"/>
      <c r="L36" s="401">
        <v>66</v>
      </c>
      <c r="M36" s="401"/>
      <c r="N36" s="401">
        <f>+H36+F36+D36</f>
        <v>186</v>
      </c>
      <c r="O36" s="401"/>
      <c r="P36" s="401">
        <v>204</v>
      </c>
      <c r="Q36" s="401"/>
      <c r="R36" s="400">
        <v>272</v>
      </c>
      <c r="S36" s="42"/>
      <c r="T36" s="75"/>
    </row>
    <row r="37" spans="3:20" ht="12.75">
      <c r="C37" s="1" t="s">
        <v>401</v>
      </c>
      <c r="D37" s="400">
        <v>3</v>
      </c>
      <c r="F37" s="400">
        <v>1</v>
      </c>
      <c r="H37" s="400">
        <v>1</v>
      </c>
      <c r="I37" s="400"/>
      <c r="J37" s="400">
        <v>0</v>
      </c>
      <c r="K37" s="401"/>
      <c r="L37" s="401">
        <v>0</v>
      </c>
      <c r="M37" s="401"/>
      <c r="N37" s="401">
        <f>+H37+F37+D37</f>
        <v>5</v>
      </c>
      <c r="O37" s="401"/>
      <c r="P37" s="401">
        <v>0</v>
      </c>
      <c r="Q37" s="401"/>
      <c r="R37" s="400">
        <v>0</v>
      </c>
      <c r="S37" s="39"/>
      <c r="T37" s="38"/>
    </row>
    <row r="38" spans="3:20" ht="13.5" thickBot="1">
      <c r="C38" s="184" t="s">
        <v>6</v>
      </c>
      <c r="D38" s="402">
        <f>+SUM(D34:D37)</f>
        <v>319</v>
      </c>
      <c r="E38" s="402"/>
      <c r="F38" s="402">
        <f>+SUM(F34:F37)</f>
        <v>325</v>
      </c>
      <c r="G38" s="402"/>
      <c r="H38" s="402">
        <f>+SUM(H34:H37)</f>
        <v>343</v>
      </c>
      <c r="I38" s="402"/>
      <c r="J38" s="402">
        <f>+SUM(J34:J37)</f>
        <v>380</v>
      </c>
      <c r="K38" s="402"/>
      <c r="L38" s="402">
        <f>+SUM(L34:L37)</f>
        <v>373</v>
      </c>
      <c r="M38" s="402"/>
      <c r="N38" s="402">
        <f>+SUM(N34:N37)</f>
        <v>987</v>
      </c>
      <c r="O38" s="402"/>
      <c r="P38" s="402">
        <f>+SUM(P34:P37)</f>
        <v>1131</v>
      </c>
      <c r="Q38" s="402"/>
      <c r="R38" s="402">
        <f>+SUM(R34:R37)</f>
        <v>1511</v>
      </c>
      <c r="S38" s="546"/>
      <c r="T38" s="229"/>
    </row>
    <row r="39" spans="3:20" ht="7.5" customHeight="1" thickTop="1">
      <c r="C39" s="55"/>
      <c r="D39" s="364"/>
      <c r="E39" s="55"/>
      <c r="F39" s="364"/>
      <c r="G39" s="364"/>
      <c r="H39" s="364"/>
      <c r="I39" s="364"/>
      <c r="J39" s="75"/>
      <c r="K39" s="75"/>
      <c r="L39" s="141"/>
      <c r="M39" s="141"/>
      <c r="N39" s="141"/>
      <c r="O39" s="141"/>
      <c r="P39" s="141"/>
      <c r="Q39" s="141"/>
      <c r="R39"/>
      <c r="S39" s="141"/>
      <c r="T39" s="75"/>
    </row>
    <row r="40" spans="3:20" ht="12.75">
      <c r="C40" s="36" t="s">
        <v>53</v>
      </c>
      <c r="D40" s="16"/>
      <c r="E40" s="36"/>
      <c r="F40" s="16"/>
      <c r="G40" s="16"/>
      <c r="H40" s="16"/>
      <c r="I40" s="16"/>
      <c r="J40" s="16"/>
      <c r="K40" s="16"/>
      <c r="L40" s="26"/>
      <c r="M40" s="26"/>
      <c r="N40" s="26"/>
      <c r="O40" s="26"/>
      <c r="P40" s="26"/>
      <c r="Q40" s="26"/>
      <c r="R40" s="16"/>
      <c r="S40" s="56"/>
      <c r="T40" s="75"/>
    </row>
    <row r="41" spans="3:20" ht="12.75">
      <c r="C41" s="1" t="s">
        <v>400</v>
      </c>
      <c r="D41" s="239">
        <f>+D27/D20</f>
        <v>0.7843137254901961</v>
      </c>
      <c r="F41" s="239">
        <v>0.9917355371900827</v>
      </c>
      <c r="G41" s="239"/>
      <c r="H41" s="239">
        <v>1</v>
      </c>
      <c r="I41" s="239"/>
      <c r="J41" s="239">
        <v>0.8125</v>
      </c>
      <c r="K41" s="239"/>
      <c r="L41" s="239">
        <v>0.9245283018867925</v>
      </c>
      <c r="M41" s="228"/>
      <c r="N41" s="239">
        <f>+N27/N20</f>
        <v>0.9653179190751445</v>
      </c>
      <c r="O41" s="228"/>
      <c r="P41" s="239">
        <f>+P27/P20</f>
        <v>0.9891891891891892</v>
      </c>
      <c r="Q41" s="228"/>
      <c r="R41" s="239">
        <f>+R27/R20</f>
        <v>0.9818652849740933</v>
      </c>
      <c r="S41" s="56"/>
      <c r="T41" s="75"/>
    </row>
    <row r="42" spans="3:20" ht="12.75">
      <c r="C42" s="1" t="s">
        <v>399</v>
      </c>
      <c r="D42" s="239">
        <f>+D28/D21</f>
        <v>1</v>
      </c>
      <c r="F42" s="239">
        <v>1</v>
      </c>
      <c r="G42" s="239"/>
      <c r="H42" s="239">
        <v>1</v>
      </c>
      <c r="I42" s="239"/>
      <c r="J42" s="239">
        <v>1</v>
      </c>
      <c r="K42" s="239"/>
      <c r="L42" s="239">
        <v>0.9943820224719101</v>
      </c>
      <c r="M42" s="228"/>
      <c r="N42" s="239">
        <f>+N28/N21</f>
        <v>1</v>
      </c>
      <c r="O42" s="228"/>
      <c r="P42" s="239">
        <f>+P28/P21</f>
        <v>0.9986149584487535</v>
      </c>
      <c r="Q42" s="228"/>
      <c r="R42" s="239">
        <f>+R28/R21</f>
        <v>0.9988925802879292</v>
      </c>
      <c r="S42" s="56"/>
      <c r="T42" s="75"/>
    </row>
    <row r="43" spans="3:20" ht="12.75">
      <c r="C43" s="1" t="s">
        <v>398</v>
      </c>
      <c r="D43" s="239">
        <f>+D29/D22</f>
        <v>0.9487179487179487</v>
      </c>
      <c r="F43" s="239">
        <v>0.9428571428571428</v>
      </c>
      <c r="G43" s="239"/>
      <c r="H43" s="239">
        <v>0.9821428571428571</v>
      </c>
      <c r="I43" s="239"/>
      <c r="J43" s="239">
        <v>0.9827586206896551</v>
      </c>
      <c r="K43" s="239"/>
      <c r="L43" s="239">
        <v>0.9666666666666667</v>
      </c>
      <c r="M43" s="228"/>
      <c r="N43" s="239">
        <f>+N29/N22</f>
        <v>0.967741935483871</v>
      </c>
      <c r="O43" s="228"/>
      <c r="P43" s="239">
        <f>+P29/P22</f>
        <v>0.9636363636363636</v>
      </c>
      <c r="Q43" s="228"/>
      <c r="R43" s="239">
        <f>+R29/R22</f>
        <v>0.9676258992805755</v>
      </c>
      <c r="S43" s="478"/>
      <c r="T43" s="240"/>
    </row>
    <row r="44" spans="3:20" ht="12.75">
      <c r="C44" s="1" t="s">
        <v>401</v>
      </c>
      <c r="D44" s="239">
        <f>+D30/D23</f>
        <v>1</v>
      </c>
      <c r="F44" s="239">
        <v>1</v>
      </c>
      <c r="G44" s="239"/>
      <c r="H44" s="239">
        <v>1</v>
      </c>
      <c r="I44" s="239"/>
      <c r="J44" s="596">
        <v>0</v>
      </c>
      <c r="K44" s="239"/>
      <c r="L44" s="596">
        <v>0</v>
      </c>
      <c r="M44" s="228"/>
      <c r="N44" s="239">
        <f>+N30/N23</f>
        <v>1</v>
      </c>
      <c r="O44" s="228"/>
      <c r="P44" s="596">
        <v>0</v>
      </c>
      <c r="Q44" s="228"/>
      <c r="R44" s="596">
        <v>0</v>
      </c>
      <c r="S44" s="478"/>
      <c r="T44" s="240"/>
    </row>
    <row r="45" spans="3:20" ht="13.5" thickBot="1">
      <c r="C45" s="184" t="s">
        <v>8</v>
      </c>
      <c r="D45" s="241">
        <f>+D31/D24</f>
        <v>0.9429824561403509</v>
      </c>
      <c r="E45" s="452"/>
      <c r="F45" s="241">
        <f>+F31/F24</f>
        <v>0.991044776119403</v>
      </c>
      <c r="G45" s="241"/>
      <c r="H45" s="241">
        <f>+H31/H24</f>
        <v>0.99581589958159</v>
      </c>
      <c r="I45" s="241"/>
      <c r="J45" s="241">
        <f>+J31/J24</f>
        <v>0.984313725490196</v>
      </c>
      <c r="K45" s="241"/>
      <c r="L45" s="241">
        <f>+L31/L24</f>
        <v>0.9759450171821306</v>
      </c>
      <c r="M45" s="242"/>
      <c r="N45" s="241">
        <f>+N31/N24</f>
        <v>0.9827089337175793</v>
      </c>
      <c r="O45" s="242"/>
      <c r="P45" s="241">
        <f>+P31/P24</f>
        <v>0.9900914634146342</v>
      </c>
      <c r="Q45" s="242"/>
      <c r="R45" s="241">
        <f>+R31/R24</f>
        <v>0.9891512444160817</v>
      </c>
      <c r="S45" s="547"/>
      <c r="T45" s="371"/>
    </row>
    <row r="46" spans="6:20" ht="13.5" thickTop="1">
      <c r="F46" s="42"/>
      <c r="G46" s="42"/>
      <c r="H46" s="42"/>
      <c r="I46" s="42"/>
      <c r="J46" s="42"/>
      <c r="K46" s="42"/>
      <c r="L46" s="42"/>
      <c r="M46" s="42"/>
      <c r="N46" s="42"/>
      <c r="O46" s="42"/>
      <c r="P46" s="42"/>
      <c r="Q46" s="42"/>
      <c r="R46" s="42"/>
      <c r="S46" s="75"/>
      <c r="T46" s="75"/>
    </row>
    <row r="47" spans="8:20" ht="12.75">
      <c r="H47" s="42"/>
      <c r="I47" s="42"/>
      <c r="J47" s="42"/>
      <c r="K47" s="42"/>
      <c r="L47" s="62"/>
      <c r="M47" s="62"/>
      <c r="N47" s="62"/>
      <c r="O47" s="62"/>
      <c r="P47" s="62"/>
      <c r="Q47" s="62"/>
      <c r="R47" s="62"/>
      <c r="S47" s="62"/>
      <c r="T47" s="75"/>
    </row>
    <row r="50" spans="3:7" ht="12.75">
      <c r="C50" s="99"/>
      <c r="D50" s="99"/>
      <c r="E50" s="99"/>
      <c r="F50" s="99"/>
      <c r="G50" s="99"/>
    </row>
  </sheetData>
  <mergeCells count="4">
    <mergeCell ref="C1:S1"/>
    <mergeCell ref="C3:S3"/>
    <mergeCell ref="C4:S4"/>
    <mergeCell ref="C2:S2"/>
  </mergeCells>
  <printOptions/>
  <pageMargins left="0.5" right="0.5" top="0.5" bottom="0.55" header="0.75" footer="0.3"/>
  <pageSetup fitToHeight="1" fitToWidth="1" horizontalDpi="600" verticalDpi="600" orientation="landscape" scale="98" r:id="rId2"/>
  <headerFooter alignWithMargins="0">
    <oddFooter>&amp;L&amp;A&amp;R&amp;"Arial,Regular"&amp;8Page 10</oddFooter>
  </headerFooter>
  <drawing r:id="rId1"/>
</worksheet>
</file>

<file path=xl/worksheets/sheet13.xml><?xml version="1.0" encoding="utf-8"?>
<worksheet xmlns="http://schemas.openxmlformats.org/spreadsheetml/2006/main" xmlns:r="http://schemas.openxmlformats.org/officeDocument/2006/relationships">
  <sheetPr codeName="Sheet24"/>
  <dimension ref="C1:S28"/>
  <sheetViews>
    <sheetView workbookViewId="0" topLeftCell="A1">
      <selection activeCell="A5" sqref="A5"/>
    </sheetView>
  </sheetViews>
  <sheetFormatPr defaultColWidth="9.33203125" defaultRowHeight="12.75"/>
  <cols>
    <col min="1" max="2" width="3.33203125" style="1" customWidth="1"/>
    <col min="3" max="3" width="43.33203125" style="1" customWidth="1"/>
    <col min="4" max="4" width="8.83203125" style="1" customWidth="1"/>
    <col min="5" max="5" width="2.33203125" style="1" customWidth="1"/>
    <col min="6" max="6" width="8.83203125" style="1" customWidth="1"/>
    <col min="7" max="7" width="2.33203125" style="1" customWidth="1"/>
    <col min="8" max="8" width="8.83203125" style="1" customWidth="1"/>
    <col min="9" max="9" width="2.33203125" style="1" customWidth="1"/>
    <col min="10" max="10" width="8.83203125" style="1" customWidth="1"/>
    <col min="11" max="11" width="2.33203125" style="1" customWidth="1"/>
    <col min="12" max="12" width="8.83203125" style="23" customWidth="1"/>
    <col min="13" max="13" width="2.33203125" style="23" customWidth="1"/>
    <col min="14" max="14" width="8.83203125" style="23" customWidth="1"/>
    <col min="15" max="15" width="2.33203125" style="23" customWidth="1"/>
    <col min="16" max="16" width="8.83203125" style="23" customWidth="1"/>
    <col min="17" max="17" width="2.33203125" style="23" customWidth="1"/>
    <col min="18" max="18" width="8.83203125" style="23" customWidth="1"/>
    <col min="19" max="19" width="2.33203125" style="23" customWidth="1"/>
    <col min="20" max="23" width="9" style="1" customWidth="1"/>
    <col min="24" max="38" width="9" style="0" customWidth="1"/>
    <col min="39" max="16384" width="9" style="1" customWidth="1"/>
  </cols>
  <sheetData>
    <row r="1" spans="3:19" ht="12.75">
      <c r="C1" s="626" t="s">
        <v>89</v>
      </c>
      <c r="D1" s="626"/>
      <c r="E1" s="626"/>
      <c r="F1" s="626"/>
      <c r="G1" s="626"/>
      <c r="H1" s="626"/>
      <c r="I1" s="626"/>
      <c r="J1" s="626"/>
      <c r="K1" s="626"/>
      <c r="L1" s="626"/>
      <c r="M1" s="626"/>
      <c r="N1" s="626"/>
      <c r="O1" s="626"/>
      <c r="P1" s="626"/>
      <c r="Q1" s="626"/>
      <c r="R1" s="626"/>
      <c r="S1" s="626"/>
    </row>
    <row r="2" spans="3:19" ht="11.25" customHeight="1">
      <c r="C2" s="627" t="s">
        <v>75</v>
      </c>
      <c r="D2" s="627"/>
      <c r="E2" s="627"/>
      <c r="F2" s="627"/>
      <c r="G2" s="627"/>
      <c r="H2" s="627"/>
      <c r="I2" s="627"/>
      <c r="J2" s="627"/>
      <c r="K2" s="627"/>
      <c r="L2" s="627"/>
      <c r="M2" s="627"/>
      <c r="N2" s="627"/>
      <c r="O2" s="627"/>
      <c r="P2" s="627"/>
      <c r="Q2" s="627"/>
      <c r="R2" s="627"/>
      <c r="S2" s="627"/>
    </row>
    <row r="3" spans="3:19" ht="11.25" customHeight="1">
      <c r="C3" s="602" t="s">
        <v>147</v>
      </c>
      <c r="D3" s="602"/>
      <c r="E3" s="602"/>
      <c r="F3" s="602"/>
      <c r="G3" s="602"/>
      <c r="H3" s="602"/>
      <c r="I3" s="602"/>
      <c r="J3" s="602"/>
      <c r="K3" s="602"/>
      <c r="L3" s="602"/>
      <c r="M3" s="602"/>
      <c r="N3" s="602"/>
      <c r="O3" s="602"/>
      <c r="P3" s="602"/>
      <c r="Q3" s="602"/>
      <c r="R3" s="602"/>
      <c r="S3" s="602"/>
    </row>
    <row r="4" spans="3:19" ht="11.25" customHeight="1">
      <c r="C4" s="602" t="s">
        <v>163</v>
      </c>
      <c r="D4" s="602"/>
      <c r="E4" s="602"/>
      <c r="F4" s="602"/>
      <c r="G4" s="602"/>
      <c r="H4" s="602"/>
      <c r="I4" s="602"/>
      <c r="J4" s="602"/>
      <c r="K4" s="602"/>
      <c r="L4" s="602"/>
      <c r="M4" s="602"/>
      <c r="N4" s="602"/>
      <c r="O4" s="602"/>
      <c r="P4" s="602"/>
      <c r="Q4" s="602"/>
      <c r="R4" s="602"/>
      <c r="S4" s="602"/>
    </row>
    <row r="5" spans="3:9" ht="11.25" customHeight="1">
      <c r="C5" s="501"/>
      <c r="E5" s="14"/>
      <c r="F5" s="14"/>
      <c r="G5" s="14"/>
      <c r="H5" s="14"/>
      <c r="I5" s="14"/>
    </row>
    <row r="6" spans="3:19" ht="12.75">
      <c r="C6" s="3" t="s">
        <v>310</v>
      </c>
      <c r="N6" s="429" t="s">
        <v>255</v>
      </c>
      <c r="O6" s="405"/>
      <c r="P6" s="429" t="s">
        <v>255</v>
      </c>
      <c r="R6" s="21" t="s">
        <v>17</v>
      </c>
      <c r="S6" s="7"/>
    </row>
    <row r="7" spans="4:19" ht="11.25" customHeight="1">
      <c r="D7" s="4" t="s">
        <v>441</v>
      </c>
      <c r="E7" s="79"/>
      <c r="F7" s="4" t="s">
        <v>418</v>
      </c>
      <c r="G7" s="79"/>
      <c r="H7" s="4" t="s">
        <v>372</v>
      </c>
      <c r="I7" s="79"/>
      <c r="J7" s="4" t="s">
        <v>358</v>
      </c>
      <c r="K7" s="4"/>
      <c r="L7" s="4" t="s">
        <v>351</v>
      </c>
      <c r="M7" s="4"/>
      <c r="N7" s="22">
        <v>2007</v>
      </c>
      <c r="O7" s="79"/>
      <c r="P7" s="22">
        <v>2006</v>
      </c>
      <c r="Q7" s="4"/>
      <c r="R7" s="22">
        <v>2006</v>
      </c>
      <c r="S7" s="5"/>
    </row>
    <row r="8" spans="12:19" ht="13.5" customHeight="1">
      <c r="L8" s="166"/>
      <c r="R8" s="1"/>
      <c r="S8" s="61"/>
    </row>
    <row r="9" spans="3:19" ht="12" customHeight="1">
      <c r="C9" s="1" t="s">
        <v>432</v>
      </c>
      <c r="D9" s="248">
        <f>+'Segment  2007 Qtr'!O10</f>
        <v>100</v>
      </c>
      <c r="F9" s="248">
        <v>92</v>
      </c>
      <c r="G9" s="336"/>
      <c r="H9" s="248">
        <v>90</v>
      </c>
      <c r="I9" s="336"/>
      <c r="J9" s="248">
        <v>78</v>
      </c>
      <c r="K9" s="336"/>
      <c r="L9" s="248">
        <v>69</v>
      </c>
      <c r="M9" s="336"/>
      <c r="N9" s="248">
        <f aca="true" t="shared" si="0" ref="N9:N15">+H9+F9+D9</f>
        <v>282</v>
      </c>
      <c r="O9" s="336"/>
      <c r="P9" s="248">
        <v>196</v>
      </c>
      <c r="Q9" s="336"/>
      <c r="R9" s="31">
        <v>274</v>
      </c>
      <c r="S9" s="336"/>
    </row>
    <row r="10" spans="3:19" ht="11.25" customHeight="1">
      <c r="C10" s="1" t="s">
        <v>125</v>
      </c>
      <c r="D10" s="438">
        <f>+'Segment  2007 Qtr'!O11</f>
        <v>95</v>
      </c>
      <c r="F10" s="53">
        <v>87</v>
      </c>
      <c r="G10" s="53"/>
      <c r="H10" s="53">
        <v>88</v>
      </c>
      <c r="I10" s="53"/>
      <c r="J10" s="53">
        <v>78</v>
      </c>
      <c r="K10" s="53"/>
      <c r="L10" s="53">
        <v>69</v>
      </c>
      <c r="M10" s="53"/>
      <c r="N10" s="53">
        <f t="shared" si="0"/>
        <v>270</v>
      </c>
      <c r="O10" s="53"/>
      <c r="P10" s="53">
        <v>196</v>
      </c>
      <c r="Q10" s="53"/>
      <c r="R10" s="63">
        <v>274</v>
      </c>
      <c r="S10" s="53"/>
    </row>
    <row r="11" spans="3:19" ht="11.25" customHeight="1">
      <c r="C11" s="1" t="s">
        <v>126</v>
      </c>
      <c r="D11" s="438">
        <f>+'Segment  2007 Qtr'!O12</f>
        <v>95</v>
      </c>
      <c r="F11" s="53">
        <v>87</v>
      </c>
      <c r="G11" s="53"/>
      <c r="H11" s="53">
        <v>88</v>
      </c>
      <c r="I11" s="53"/>
      <c r="J11" s="53">
        <v>78</v>
      </c>
      <c r="K11" s="53"/>
      <c r="L11" s="53">
        <v>69</v>
      </c>
      <c r="M11" s="53"/>
      <c r="N11" s="53">
        <f t="shared" si="0"/>
        <v>270</v>
      </c>
      <c r="O11" s="53"/>
      <c r="P11" s="53">
        <v>196</v>
      </c>
      <c r="Q11" s="53"/>
      <c r="R11" s="63">
        <v>274</v>
      </c>
      <c r="S11" s="53"/>
    </row>
    <row r="12" spans="3:19" ht="11.25" customHeight="1">
      <c r="C12" s="15" t="s">
        <v>118</v>
      </c>
      <c r="D12" s="438">
        <f>+'Segment  2007 Qtr'!O14</f>
        <v>39</v>
      </c>
      <c r="E12" s="15"/>
      <c r="F12" s="53">
        <v>33</v>
      </c>
      <c r="G12" s="53"/>
      <c r="H12" s="53">
        <v>36</v>
      </c>
      <c r="I12" s="53"/>
      <c r="J12" s="53">
        <v>32</v>
      </c>
      <c r="K12" s="53"/>
      <c r="L12" s="53">
        <v>29</v>
      </c>
      <c r="M12" s="53"/>
      <c r="N12" s="53">
        <f t="shared" si="0"/>
        <v>108</v>
      </c>
      <c r="O12" s="53"/>
      <c r="P12" s="53">
        <v>91</v>
      </c>
      <c r="Q12" s="53"/>
      <c r="R12" s="63">
        <v>123</v>
      </c>
      <c r="S12" s="53"/>
    </row>
    <row r="13" spans="3:19" ht="11.25" customHeight="1">
      <c r="C13" s="1" t="s">
        <v>129</v>
      </c>
      <c r="D13" s="438">
        <f>+'Segment  2007 Qtr'!O15</f>
        <v>13</v>
      </c>
      <c r="F13" s="53">
        <v>12</v>
      </c>
      <c r="G13" s="53"/>
      <c r="H13" s="53">
        <v>11</v>
      </c>
      <c r="I13" s="53"/>
      <c r="J13" s="53">
        <v>9</v>
      </c>
      <c r="K13" s="53"/>
      <c r="L13" s="53">
        <v>7</v>
      </c>
      <c r="M13" s="53"/>
      <c r="N13" s="53">
        <f t="shared" si="0"/>
        <v>36</v>
      </c>
      <c r="O13" s="53"/>
      <c r="P13" s="53">
        <v>17</v>
      </c>
      <c r="Q13" s="53"/>
      <c r="R13" s="63">
        <v>26</v>
      </c>
      <c r="S13" s="53"/>
    </row>
    <row r="14" spans="3:19" ht="11.25" customHeight="1">
      <c r="C14" s="1" t="s">
        <v>127</v>
      </c>
      <c r="D14" s="438">
        <f>+'Segment  2007 Qtr'!O16</f>
        <v>13</v>
      </c>
      <c r="F14" s="53">
        <v>12</v>
      </c>
      <c r="G14" s="53"/>
      <c r="H14" s="53">
        <v>12</v>
      </c>
      <c r="I14" s="53"/>
      <c r="J14" s="53">
        <v>12</v>
      </c>
      <c r="K14" s="53"/>
      <c r="L14" s="53">
        <v>8</v>
      </c>
      <c r="M14" s="53"/>
      <c r="N14" s="53">
        <f t="shared" si="0"/>
        <v>37</v>
      </c>
      <c r="O14" s="53"/>
      <c r="P14" s="53">
        <v>23</v>
      </c>
      <c r="Q14" s="53"/>
      <c r="R14" s="63">
        <v>35</v>
      </c>
      <c r="S14" s="53"/>
    </row>
    <row r="15" spans="3:19" ht="11.25" customHeight="1">
      <c r="C15" s="1" t="s">
        <v>121</v>
      </c>
      <c r="D15" s="53">
        <f>+'Segment  2007 Qtr'!O19</f>
        <v>14</v>
      </c>
      <c r="E15" s="79"/>
      <c r="F15" s="53">
        <v>14</v>
      </c>
      <c r="G15" s="53"/>
      <c r="H15" s="53">
        <v>12</v>
      </c>
      <c r="I15" s="53"/>
      <c r="J15" s="53">
        <v>12</v>
      </c>
      <c r="K15" s="249"/>
      <c r="L15" s="53">
        <v>11</v>
      </c>
      <c r="M15" s="249"/>
      <c r="N15" s="53">
        <f t="shared" si="0"/>
        <v>40</v>
      </c>
      <c r="O15" s="53"/>
      <c r="P15" s="53">
        <v>30</v>
      </c>
      <c r="Q15" s="63"/>
      <c r="R15" s="63">
        <v>42</v>
      </c>
      <c r="S15" s="53"/>
    </row>
    <row r="16" spans="3:19" ht="12.75" customHeight="1">
      <c r="C16" s="1" t="s">
        <v>433</v>
      </c>
      <c r="D16" s="437">
        <f>+D11-D12-D13-D14+D15</f>
        <v>44</v>
      </c>
      <c r="F16" s="437">
        <f>+F11-F12-F13-F14+F15</f>
        <v>44</v>
      </c>
      <c r="G16" s="257"/>
      <c r="H16" s="437">
        <f>+H11-H12-H13-H14+H15</f>
        <v>41</v>
      </c>
      <c r="I16" s="257"/>
      <c r="J16" s="257">
        <f>+J11-J12-J13-J14+J15</f>
        <v>37</v>
      </c>
      <c r="K16" s="336"/>
      <c r="L16" s="257">
        <f>+L11-L12-L13-L14+L15</f>
        <v>36</v>
      </c>
      <c r="M16" s="336"/>
      <c r="N16" s="257">
        <f>+N11-N12-N13-N14+N15</f>
        <v>129</v>
      </c>
      <c r="O16" s="257"/>
      <c r="P16" s="257">
        <f>+P11-P12-P13-P14+P15</f>
        <v>95</v>
      </c>
      <c r="Q16" s="257"/>
      <c r="R16" s="257">
        <f>+R11-R12-R13-R14+R15</f>
        <v>132</v>
      </c>
      <c r="S16" s="336"/>
    </row>
    <row r="17" spans="4:19" ht="6" customHeight="1">
      <c r="D17" s="438"/>
      <c r="F17" s="438"/>
      <c r="G17" s="336"/>
      <c r="H17" s="438"/>
      <c r="I17" s="336"/>
      <c r="J17" s="336"/>
      <c r="K17" s="336"/>
      <c r="L17" s="336"/>
      <c r="M17" s="336"/>
      <c r="N17" s="336"/>
      <c r="O17" s="336"/>
      <c r="P17" s="336"/>
      <c r="Q17" s="336"/>
      <c r="R17" s="336"/>
      <c r="S17" s="336"/>
    </row>
    <row r="18" spans="3:19" ht="11.25" customHeight="1">
      <c r="C18" s="172" t="s">
        <v>166</v>
      </c>
      <c r="D18" s="53">
        <f>+'Segment  2007 Qtr'!O26</f>
        <v>-51</v>
      </c>
      <c r="E18" s="172"/>
      <c r="F18" s="53">
        <v>-1</v>
      </c>
      <c r="G18" s="172"/>
      <c r="H18" s="53">
        <v>-4</v>
      </c>
      <c r="I18" s="172"/>
      <c r="J18" s="53">
        <v>-13</v>
      </c>
      <c r="K18" s="201"/>
      <c r="L18" s="201">
        <v>-14</v>
      </c>
      <c r="M18" s="201"/>
      <c r="N18" s="53">
        <f>+H18+F18+D18</f>
        <v>-56</v>
      </c>
      <c r="O18" s="53"/>
      <c r="P18" s="53">
        <v>-23</v>
      </c>
      <c r="Q18" s="63"/>
      <c r="R18" s="63">
        <v>-36</v>
      </c>
      <c r="S18" s="53"/>
    </row>
    <row r="19" spans="3:19" ht="11.25" customHeight="1">
      <c r="C19" s="1" t="s">
        <v>151</v>
      </c>
      <c r="D19" s="249">
        <f>+'Segment  2007 Qtr'!O23</f>
        <v>-3</v>
      </c>
      <c r="E19" s="79"/>
      <c r="F19" s="249">
        <v>1</v>
      </c>
      <c r="G19" s="79"/>
      <c r="H19" s="249">
        <v>-2</v>
      </c>
      <c r="I19" s="79"/>
      <c r="J19" s="249">
        <v>-5</v>
      </c>
      <c r="K19" s="226"/>
      <c r="L19" s="249">
        <v>0</v>
      </c>
      <c r="M19" s="226"/>
      <c r="N19" s="249">
        <f>+H19+F19+D19</f>
        <v>-4</v>
      </c>
      <c r="O19" s="249"/>
      <c r="P19" s="249">
        <v>-1</v>
      </c>
      <c r="Q19" s="249"/>
      <c r="R19" s="249">
        <v>-6</v>
      </c>
      <c r="S19" s="53"/>
    </row>
    <row r="20" spans="3:19" ht="11.25" customHeight="1">
      <c r="C20" s="171" t="s">
        <v>5</v>
      </c>
      <c r="D20" s="441">
        <f>+D16+D18-D19</f>
        <v>-4</v>
      </c>
      <c r="E20" s="171"/>
      <c r="F20" s="441">
        <f>+F16+F18-F19</f>
        <v>42</v>
      </c>
      <c r="G20" s="171"/>
      <c r="H20" s="441">
        <f>+H16+H18-H19</f>
        <v>39</v>
      </c>
      <c r="I20" s="171"/>
      <c r="J20" s="441">
        <f>+J16+J18-J19</f>
        <v>29</v>
      </c>
      <c r="K20" s="351"/>
      <c r="L20" s="441">
        <f>+L16+L18-L19</f>
        <v>22</v>
      </c>
      <c r="M20" s="351"/>
      <c r="N20" s="441">
        <f>+N16+N18-N19</f>
        <v>77</v>
      </c>
      <c r="O20" s="441"/>
      <c r="P20" s="441">
        <f>+P16+P18-P19</f>
        <v>73</v>
      </c>
      <c r="Q20" s="441"/>
      <c r="R20" s="441">
        <f>+R16+R18-R19</f>
        <v>102</v>
      </c>
      <c r="S20" s="441"/>
    </row>
    <row r="21" spans="3:19" ht="6.75" customHeight="1">
      <c r="C21" s="171"/>
      <c r="D21" s="357"/>
      <c r="E21" s="171"/>
      <c r="F21" s="357"/>
      <c r="G21" s="171"/>
      <c r="H21" s="357"/>
      <c r="I21" s="171"/>
      <c r="J21" s="357"/>
      <c r="K21" s="354"/>
      <c r="L21" s="354"/>
      <c r="M21" s="354"/>
      <c r="N21" s="42"/>
      <c r="O21" s="42"/>
      <c r="P21" s="42"/>
      <c r="Q21" s="42"/>
      <c r="R21" s="42"/>
      <c r="S21" s="265"/>
    </row>
    <row r="22" spans="3:19" ht="11.25" customHeight="1">
      <c r="C22" s="172" t="s">
        <v>166</v>
      </c>
      <c r="D22" s="53">
        <f>+'Segment  2007 Qtr'!O26</f>
        <v>-51</v>
      </c>
      <c r="E22" s="172"/>
      <c r="F22" s="53">
        <v>-1</v>
      </c>
      <c r="G22" s="172"/>
      <c r="H22" s="53">
        <v>-4</v>
      </c>
      <c r="I22" s="172"/>
      <c r="J22" s="53">
        <v>-13</v>
      </c>
      <c r="K22" s="201"/>
      <c r="L22" s="201">
        <v>-14</v>
      </c>
      <c r="M22" s="201"/>
      <c r="N22" s="53">
        <f>+H22+F22+D22</f>
        <v>-56</v>
      </c>
      <c r="O22" s="53"/>
      <c r="P22" s="53">
        <v>-23</v>
      </c>
      <c r="Q22" s="63"/>
      <c r="R22" s="63">
        <v>-36</v>
      </c>
      <c r="S22" s="53"/>
    </row>
    <row r="23" spans="3:19" ht="11.25" customHeight="1">
      <c r="C23" s="172" t="s">
        <v>246</v>
      </c>
      <c r="D23" s="249">
        <f>+'Segment  2007 Qtr'!O28</f>
        <v>0</v>
      </c>
      <c r="E23" s="172"/>
      <c r="F23" s="249">
        <v>0</v>
      </c>
      <c r="G23" s="172"/>
      <c r="H23" s="249">
        <v>0</v>
      </c>
      <c r="I23" s="172"/>
      <c r="J23" s="249">
        <v>0</v>
      </c>
      <c r="K23" s="201"/>
      <c r="L23" s="201">
        <v>0</v>
      </c>
      <c r="M23" s="201"/>
      <c r="N23" s="53">
        <f>+H23+F23+D23</f>
        <v>0</v>
      </c>
      <c r="O23" s="53"/>
      <c r="P23" s="53">
        <v>0</v>
      </c>
      <c r="Q23" s="63"/>
      <c r="R23" s="53">
        <v>0</v>
      </c>
      <c r="S23" s="53"/>
    </row>
    <row r="24" spans="3:19" ht="15.75" customHeight="1" thickBot="1">
      <c r="C24" s="200" t="s">
        <v>434</v>
      </c>
      <c r="D24" s="442">
        <f>+D20-D22+D23</f>
        <v>47</v>
      </c>
      <c r="E24" s="454"/>
      <c r="F24" s="442">
        <f>+F20-F22+F23</f>
        <v>43</v>
      </c>
      <c r="G24" s="454"/>
      <c r="H24" s="442">
        <f>+H20-H22+H23</f>
        <v>43</v>
      </c>
      <c r="I24" s="454"/>
      <c r="J24" s="442">
        <f>+J20-J22+J23</f>
        <v>42</v>
      </c>
      <c r="K24" s="193"/>
      <c r="L24" s="442">
        <f>+L20-L22+L23</f>
        <v>36</v>
      </c>
      <c r="M24" s="193"/>
      <c r="N24" s="442">
        <f>+N20-N22+N23</f>
        <v>133</v>
      </c>
      <c r="O24" s="442"/>
      <c r="P24" s="442">
        <f>+P20-P22+P23</f>
        <v>96</v>
      </c>
      <c r="Q24" s="442"/>
      <c r="R24" s="442">
        <f>+R20-R22+R23</f>
        <v>138</v>
      </c>
      <c r="S24" s="213"/>
    </row>
    <row r="25" spans="3:19" ht="11.25" customHeight="1" thickTop="1">
      <c r="C25" s="171"/>
      <c r="D25" s="212"/>
      <c r="E25" s="171"/>
      <c r="F25" s="212"/>
      <c r="G25" s="171"/>
      <c r="H25" s="212"/>
      <c r="I25" s="213"/>
      <c r="J25" s="213"/>
      <c r="K25" s="213"/>
      <c r="L25" s="213"/>
      <c r="M25" s="213"/>
      <c r="N25" s="213"/>
      <c r="O25" s="213"/>
      <c r="P25" s="213"/>
      <c r="Q25" s="213"/>
      <c r="R25" s="213"/>
      <c r="S25" s="213"/>
    </row>
    <row r="26" spans="3:14" ht="39" customHeight="1">
      <c r="C26" s="608" t="s">
        <v>525</v>
      </c>
      <c r="D26" s="608"/>
      <c r="E26" s="608"/>
      <c r="F26" s="608"/>
      <c r="G26" s="608"/>
      <c r="H26" s="608"/>
      <c r="I26" s="608"/>
      <c r="J26" s="608"/>
      <c r="K26" s="608"/>
      <c r="L26" s="608"/>
      <c r="M26" s="608"/>
      <c r="N26" s="608"/>
    </row>
    <row r="27" ht="12.75">
      <c r="C27" s="458" t="s">
        <v>435</v>
      </c>
    </row>
    <row r="28" spans="3:5" ht="12.75">
      <c r="C28" s="526" t="s">
        <v>436</v>
      </c>
      <c r="D28" s="42"/>
      <c r="E28" s="42"/>
    </row>
  </sheetData>
  <mergeCells count="5">
    <mergeCell ref="C26:N26"/>
    <mergeCell ref="C1:S1"/>
    <mergeCell ref="C2:S2"/>
    <mergeCell ref="C3:S3"/>
    <mergeCell ref="C4:S4"/>
  </mergeCells>
  <hyperlinks>
    <hyperlink ref="C28" location="'Reconciliation Non-GAAP'!A1" display="'Reconciliation Non-GAAP'!A1"/>
  </hyperlinks>
  <printOptions/>
  <pageMargins left="0.5" right="0.5" top="0.5" bottom="0.55" header="0.75" footer="0.3"/>
  <pageSetup horizontalDpi="600" verticalDpi="600" orientation="landscape" r:id="rId2"/>
  <headerFooter alignWithMargins="0">
    <oddFooter>&amp;L&amp;A&amp;R&amp;"Arial,Regular"&amp;8Page 11</oddFooter>
  </headerFooter>
  <colBreaks count="1" manualBreakCount="1">
    <brk id="19" max="27" man="1"/>
  </colBreaks>
  <drawing r:id="rId1"/>
</worksheet>
</file>

<file path=xl/worksheets/sheet14.xml><?xml version="1.0" encoding="utf-8"?>
<worksheet xmlns="http://schemas.openxmlformats.org/spreadsheetml/2006/main" xmlns:r="http://schemas.openxmlformats.org/officeDocument/2006/relationships">
  <sheetPr codeName="Sheet25">
    <pageSetUpPr fitToPage="1"/>
  </sheetPr>
  <dimension ref="B1:R55"/>
  <sheetViews>
    <sheetView workbookViewId="0" topLeftCell="A1">
      <selection activeCell="A1" sqref="A1"/>
    </sheetView>
  </sheetViews>
  <sheetFormatPr defaultColWidth="9.33203125" defaultRowHeight="12.75"/>
  <cols>
    <col min="1" max="1" width="3.33203125" style="1" customWidth="1"/>
    <col min="2" max="2" width="36.16015625" style="1" customWidth="1"/>
    <col min="3" max="5" width="10.83203125" style="1" customWidth="1"/>
    <col min="6" max="6" width="2.33203125" style="1" customWidth="1"/>
    <col min="7" max="9" width="10.83203125" style="1" customWidth="1"/>
    <col min="10" max="10" width="2.33203125" style="1" customWidth="1"/>
    <col min="11" max="13" width="10.83203125" style="1" customWidth="1"/>
    <col min="14" max="14" width="1.0078125" style="1" customWidth="1"/>
    <col min="15" max="15" width="14.5" style="1" customWidth="1"/>
    <col min="16" max="16" width="10.5" style="1" customWidth="1"/>
    <col min="17" max="16384" width="9" style="1" customWidth="1"/>
  </cols>
  <sheetData>
    <row r="1" spans="2:13" ht="14.25" customHeight="1">
      <c r="B1" s="626" t="s">
        <v>89</v>
      </c>
      <c r="C1" s="626"/>
      <c r="D1" s="626"/>
      <c r="E1" s="626"/>
      <c r="F1" s="626"/>
      <c r="G1" s="626"/>
      <c r="H1" s="626"/>
      <c r="I1" s="626"/>
      <c r="J1" s="626"/>
      <c r="K1" s="626"/>
      <c r="L1" s="626"/>
      <c r="M1" s="626"/>
    </row>
    <row r="2" spans="2:13" ht="12">
      <c r="B2" s="610" t="s">
        <v>188</v>
      </c>
      <c r="C2" s="610"/>
      <c r="D2" s="610"/>
      <c r="E2" s="610"/>
      <c r="F2" s="610"/>
      <c r="G2" s="610"/>
      <c r="H2" s="610"/>
      <c r="I2" s="610"/>
      <c r="J2" s="610"/>
      <c r="K2" s="610"/>
      <c r="L2" s="610"/>
      <c r="M2" s="610"/>
    </row>
    <row r="3" spans="2:13" ht="10.5" customHeight="1">
      <c r="B3" s="602" t="s">
        <v>147</v>
      </c>
      <c r="C3" s="602"/>
      <c r="D3" s="602"/>
      <c r="E3" s="602"/>
      <c r="F3" s="602"/>
      <c r="G3" s="602"/>
      <c r="H3" s="602"/>
      <c r="I3" s="602"/>
      <c r="J3" s="602"/>
      <c r="K3" s="602"/>
      <c r="L3" s="602"/>
      <c r="M3" s="602"/>
    </row>
    <row r="4" spans="2:13" ht="14.25" customHeight="1">
      <c r="B4" s="602" t="s">
        <v>163</v>
      </c>
      <c r="C4" s="602"/>
      <c r="D4" s="602"/>
      <c r="E4" s="602"/>
      <c r="F4" s="602"/>
      <c r="G4" s="602"/>
      <c r="H4" s="602"/>
      <c r="I4" s="602"/>
      <c r="J4" s="602"/>
      <c r="K4" s="602"/>
      <c r="L4" s="602"/>
      <c r="M4" s="602"/>
    </row>
    <row r="5" ht="6" customHeight="1">
      <c r="F5"/>
    </row>
    <row r="6" spans="2:13" ht="12.75">
      <c r="B6" s="501"/>
      <c r="C6" s="79"/>
      <c r="D6" s="4" t="s">
        <v>117</v>
      </c>
      <c r="E6" s="79"/>
      <c r="F6"/>
      <c r="G6" s="79"/>
      <c r="H6" s="82" t="s">
        <v>76</v>
      </c>
      <c r="I6" s="79"/>
      <c r="J6"/>
      <c r="K6" s="79"/>
      <c r="L6" s="4" t="s">
        <v>49</v>
      </c>
      <c r="M6" s="79"/>
    </row>
    <row r="7" spans="2:13" ht="12.75">
      <c r="B7" s="83"/>
      <c r="C7" s="611" t="s">
        <v>160</v>
      </c>
      <c r="D7" s="612"/>
      <c r="E7" s="612"/>
      <c r="F7"/>
      <c r="G7" s="611" t="s">
        <v>160</v>
      </c>
      <c r="H7" s="612"/>
      <c r="I7" s="612"/>
      <c r="J7"/>
      <c r="K7" s="611" t="s">
        <v>160</v>
      </c>
      <c r="L7" s="612"/>
      <c r="M7" s="612"/>
    </row>
    <row r="8" spans="2:13" ht="12.75">
      <c r="B8" s="7"/>
      <c r="C8" s="551" t="s">
        <v>148</v>
      </c>
      <c r="D8" s="551" t="s">
        <v>48</v>
      </c>
      <c r="E8" s="551" t="s">
        <v>86</v>
      </c>
      <c r="F8"/>
      <c r="G8" s="551" t="s">
        <v>148</v>
      </c>
      <c r="H8" s="551" t="s">
        <v>48</v>
      </c>
      <c r="I8" s="551" t="s">
        <v>86</v>
      </c>
      <c r="J8"/>
      <c r="K8" s="551" t="s">
        <v>148</v>
      </c>
      <c r="L8" s="551" t="s">
        <v>48</v>
      </c>
      <c r="M8" s="551" t="s">
        <v>86</v>
      </c>
    </row>
    <row r="9" spans="2:18" ht="5.25" customHeight="1">
      <c r="B9" s="7"/>
      <c r="C9" s="121"/>
      <c r="D9" s="121"/>
      <c r="E9" s="121"/>
      <c r="F9" s="159"/>
      <c r="G9" s="121"/>
      <c r="H9" s="121"/>
      <c r="I9" s="121"/>
      <c r="J9" s="159"/>
      <c r="K9" s="5"/>
      <c r="L9" s="5"/>
      <c r="M9" s="5"/>
      <c r="P9" s="9"/>
      <c r="Q9" s="9"/>
      <c r="R9" s="9"/>
    </row>
    <row r="10" spans="2:13" ht="11.25" customHeight="1">
      <c r="B10" s="72" t="s">
        <v>298</v>
      </c>
      <c r="C10" s="34">
        <v>35055</v>
      </c>
      <c r="D10" s="34">
        <v>14597</v>
      </c>
      <c r="E10" s="34">
        <v>20458</v>
      </c>
      <c r="F10" s="256"/>
      <c r="G10" s="34">
        <v>27174</v>
      </c>
      <c r="H10" s="34">
        <v>9269</v>
      </c>
      <c r="I10" s="34">
        <v>17905</v>
      </c>
      <c r="J10" s="256"/>
      <c r="K10" s="34">
        <f>+C10-G10</f>
        <v>7881</v>
      </c>
      <c r="L10" s="34">
        <f>+D10-H10</f>
        <v>5328</v>
      </c>
      <c r="M10" s="34">
        <v>2553</v>
      </c>
    </row>
    <row r="11" spans="2:13" ht="5.25" customHeight="1">
      <c r="B11" s="72"/>
      <c r="C11" s="34"/>
      <c r="D11" s="34"/>
      <c r="E11" s="34"/>
      <c r="F11" s="403"/>
      <c r="G11" s="34"/>
      <c r="H11" s="34"/>
      <c r="I11" s="34"/>
      <c r="J11" s="403"/>
      <c r="K11" s="34"/>
      <c r="L11" s="34"/>
      <c r="M11" s="34"/>
    </row>
    <row r="12" spans="2:13" ht="11.25" customHeight="1">
      <c r="B12" s="84" t="s">
        <v>87</v>
      </c>
      <c r="C12" s="38">
        <v>2130</v>
      </c>
      <c r="D12" s="38">
        <v>450</v>
      </c>
      <c r="E12" s="38">
        <f>+C12-D12</f>
        <v>1680</v>
      </c>
      <c r="F12" s="256"/>
      <c r="G12" s="39">
        <f aca="true" t="shared" si="0" ref="G12:H14">+C12-K12</f>
        <v>2143</v>
      </c>
      <c r="H12" s="39">
        <f t="shared" si="0"/>
        <v>476</v>
      </c>
      <c r="I12" s="38">
        <f>+G12-H12</f>
        <v>1667</v>
      </c>
      <c r="J12" s="256"/>
      <c r="K12" s="39">
        <v>-13</v>
      </c>
      <c r="L12" s="39">
        <v>-26</v>
      </c>
      <c r="M12" s="39">
        <f>+K12-L12</f>
        <v>13</v>
      </c>
    </row>
    <row r="13" spans="2:13" ht="11.25" customHeight="1">
      <c r="B13" s="84" t="s">
        <v>88</v>
      </c>
      <c r="C13" s="38">
        <v>-1686</v>
      </c>
      <c r="D13" s="38">
        <v>-503</v>
      </c>
      <c r="E13" s="38">
        <f>+C13-D13</f>
        <v>-1183</v>
      </c>
      <c r="F13" s="256"/>
      <c r="G13" s="39">
        <f t="shared" si="0"/>
        <v>-1486</v>
      </c>
      <c r="H13" s="39">
        <f t="shared" si="0"/>
        <v>-353</v>
      </c>
      <c r="I13" s="38">
        <f>+G13-H13</f>
        <v>-1133</v>
      </c>
      <c r="J13" s="256"/>
      <c r="K13" s="39">
        <v>-200</v>
      </c>
      <c r="L13" s="39">
        <v>-150</v>
      </c>
      <c r="M13" s="39">
        <f>+K13-L13</f>
        <v>-50</v>
      </c>
    </row>
    <row r="14" spans="2:13" ht="12.75" customHeight="1">
      <c r="B14" s="75" t="s">
        <v>300</v>
      </c>
      <c r="C14" s="38">
        <v>9</v>
      </c>
      <c r="D14" s="38">
        <v>10</v>
      </c>
      <c r="E14" s="38">
        <f>+C14-D14</f>
        <v>-1</v>
      </c>
      <c r="F14" s="256"/>
      <c r="G14" s="39">
        <f t="shared" si="0"/>
        <v>16</v>
      </c>
      <c r="H14" s="39">
        <f t="shared" si="0"/>
        <v>10</v>
      </c>
      <c r="I14" s="38">
        <f>+G14-H14</f>
        <v>6</v>
      </c>
      <c r="J14" s="256"/>
      <c r="K14" s="39">
        <v>-7</v>
      </c>
      <c r="L14" s="39">
        <v>0</v>
      </c>
      <c r="M14" s="39">
        <f>+K14-L14</f>
        <v>-7</v>
      </c>
    </row>
    <row r="15" spans="2:13" s="14" customFormat="1" ht="11.25" customHeight="1">
      <c r="B15" s="72" t="s">
        <v>319</v>
      </c>
      <c r="C15" s="274">
        <f>SUM(C10:C14)</f>
        <v>35508</v>
      </c>
      <c r="D15" s="274">
        <f>SUM(D10:D14)</f>
        <v>14554</v>
      </c>
      <c r="E15" s="274">
        <f>SUM(E10:E14)</f>
        <v>20954</v>
      </c>
      <c r="F15" s="256"/>
      <c r="G15" s="274">
        <f>SUM(G10:G14)</f>
        <v>27847</v>
      </c>
      <c r="H15" s="274">
        <f>SUM(H10:H14)</f>
        <v>9402</v>
      </c>
      <c r="I15" s="274">
        <f>SUM(I10:I14)</f>
        <v>18445</v>
      </c>
      <c r="J15" s="256"/>
      <c r="K15" s="433">
        <f>SUM(K10:K14)</f>
        <v>7661</v>
      </c>
      <c r="L15" s="433">
        <f>SUM(L10:L14)</f>
        <v>5152</v>
      </c>
      <c r="M15" s="433">
        <f>SUM(M10:M14)</f>
        <v>2509</v>
      </c>
    </row>
    <row r="16" spans="2:13" ht="5.25" customHeight="1">
      <c r="B16" s="72"/>
      <c r="C16" s="34"/>
      <c r="D16" s="34"/>
      <c r="E16" s="34"/>
      <c r="F16" s="403"/>
      <c r="G16" s="34"/>
      <c r="H16" s="34"/>
      <c r="I16" s="34"/>
      <c r="J16" s="403"/>
      <c r="K16" s="34"/>
      <c r="L16" s="34"/>
      <c r="M16" s="34"/>
    </row>
    <row r="17" spans="2:13" ht="12.75">
      <c r="B17" s="84" t="s">
        <v>87</v>
      </c>
      <c r="C17" s="38">
        <v>2378</v>
      </c>
      <c r="D17" s="38">
        <v>630</v>
      </c>
      <c r="E17" s="38">
        <f>+C17-D17</f>
        <v>1748</v>
      </c>
      <c r="F17" s="256"/>
      <c r="G17" s="39">
        <f aca="true" t="shared" si="1" ref="G17:H19">+C17-K17</f>
        <v>2349</v>
      </c>
      <c r="H17" s="39">
        <f t="shared" si="1"/>
        <v>618</v>
      </c>
      <c r="I17" s="38">
        <f>+G17-H17</f>
        <v>1731</v>
      </c>
      <c r="J17" s="256"/>
      <c r="K17" s="39">
        <v>29</v>
      </c>
      <c r="L17" s="39">
        <v>12</v>
      </c>
      <c r="M17" s="39">
        <f>+K17-L17</f>
        <v>17</v>
      </c>
    </row>
    <row r="18" spans="2:13" ht="12.75">
      <c r="B18" s="84" t="s">
        <v>88</v>
      </c>
      <c r="C18" s="38">
        <v>-2536</v>
      </c>
      <c r="D18" s="38">
        <v>-1082</v>
      </c>
      <c r="E18" s="38">
        <f>+C18-D18</f>
        <v>-1454</v>
      </c>
      <c r="F18" s="256"/>
      <c r="G18" s="39">
        <f t="shared" si="1"/>
        <v>-2344</v>
      </c>
      <c r="H18" s="39">
        <f t="shared" si="1"/>
        <v>-938</v>
      </c>
      <c r="I18" s="38">
        <f>+G18-H18</f>
        <v>-1406</v>
      </c>
      <c r="J18" s="256"/>
      <c r="K18" s="39">
        <v>-192</v>
      </c>
      <c r="L18" s="39">
        <v>-144</v>
      </c>
      <c r="M18" s="39">
        <f>+K18-L18</f>
        <v>-48</v>
      </c>
    </row>
    <row r="19" spans="2:13" ht="12.75" customHeight="1">
      <c r="B19" s="75" t="s">
        <v>300</v>
      </c>
      <c r="C19" s="38">
        <v>214</v>
      </c>
      <c r="D19" s="38">
        <v>69</v>
      </c>
      <c r="E19" s="38">
        <f>+C19-D19</f>
        <v>145</v>
      </c>
      <c r="F19" s="256"/>
      <c r="G19" s="39">
        <f t="shared" si="1"/>
        <v>212</v>
      </c>
      <c r="H19" s="39">
        <f t="shared" si="1"/>
        <v>69</v>
      </c>
      <c r="I19" s="38">
        <f>+G19-H19</f>
        <v>143</v>
      </c>
      <c r="J19" s="256"/>
      <c r="K19" s="39">
        <v>2</v>
      </c>
      <c r="L19" s="39">
        <v>0</v>
      </c>
      <c r="M19" s="39">
        <f>+K19-L19</f>
        <v>2</v>
      </c>
    </row>
    <row r="20" spans="2:13" s="14" customFormat="1" ht="11.25" customHeight="1">
      <c r="B20" s="72" t="s">
        <v>350</v>
      </c>
      <c r="C20" s="274">
        <f>SUM(C15:C19)</f>
        <v>35564</v>
      </c>
      <c r="D20" s="274">
        <f>SUM(D15:D19)</f>
        <v>14171</v>
      </c>
      <c r="E20" s="274">
        <f>SUM(E15:E19)</f>
        <v>21393</v>
      </c>
      <c r="F20" s="256"/>
      <c r="G20" s="274">
        <f>SUM(G15:G19)</f>
        <v>28064</v>
      </c>
      <c r="H20" s="274">
        <f>SUM(H15:H19)</f>
        <v>9151</v>
      </c>
      <c r="I20" s="274">
        <f>SUM(I15:I19)</f>
        <v>18913</v>
      </c>
      <c r="J20" s="256"/>
      <c r="K20" s="433">
        <f>SUM(K15:K19)</f>
        <v>7500</v>
      </c>
      <c r="L20" s="433">
        <f>SUM(L15:L19)</f>
        <v>5020</v>
      </c>
      <c r="M20" s="433">
        <f>SUM(M15:M19)</f>
        <v>2480</v>
      </c>
    </row>
    <row r="21" spans="2:13" ht="5.25" customHeight="1">
      <c r="B21" s="72"/>
      <c r="C21" s="34"/>
      <c r="D21" s="34"/>
      <c r="E21" s="34"/>
      <c r="F21" s="403"/>
      <c r="G21" s="34"/>
      <c r="H21" s="34"/>
      <c r="I21" s="34"/>
      <c r="J21" s="403"/>
      <c r="K21" s="34"/>
      <c r="L21" s="34"/>
      <c r="M21" s="34"/>
    </row>
    <row r="22" spans="2:13" ht="12.75">
      <c r="B22" s="84" t="s">
        <v>87</v>
      </c>
      <c r="C22" s="38">
        <v>2582</v>
      </c>
      <c r="D22" s="38">
        <v>764</v>
      </c>
      <c r="E22" s="38">
        <f>+C22-D22</f>
        <v>1818</v>
      </c>
      <c r="F22" s="403"/>
      <c r="G22" s="39">
        <f aca="true" t="shared" si="2" ref="G22:H25">+C22-K22</f>
        <v>2588</v>
      </c>
      <c r="H22" s="39">
        <f t="shared" si="2"/>
        <v>797</v>
      </c>
      <c r="I22" s="38">
        <f>+G22-H22</f>
        <v>1791</v>
      </c>
      <c r="J22" s="403"/>
      <c r="K22" s="39">
        <v>-6</v>
      </c>
      <c r="L22" s="39">
        <v>-33</v>
      </c>
      <c r="M22" s="38">
        <f>+K22-L22</f>
        <v>27</v>
      </c>
    </row>
    <row r="23" spans="2:13" ht="12.75">
      <c r="B23" s="84" t="s">
        <v>88</v>
      </c>
      <c r="C23" s="38">
        <v>-2395</v>
      </c>
      <c r="D23" s="38">
        <v>-975</v>
      </c>
      <c r="E23" s="38">
        <f>+C23-D23</f>
        <v>-1420</v>
      </c>
      <c r="F23" s="403"/>
      <c r="G23" s="39">
        <f t="shared" si="2"/>
        <v>-2223</v>
      </c>
      <c r="H23" s="39">
        <f t="shared" si="2"/>
        <v>-893</v>
      </c>
      <c r="I23" s="38">
        <f>+G23-H23</f>
        <v>-1330</v>
      </c>
      <c r="J23" s="403"/>
      <c r="K23" s="39">
        <v>-172</v>
      </c>
      <c r="L23" s="39">
        <v>-82</v>
      </c>
      <c r="M23" s="38">
        <f>+K23-L23</f>
        <v>-90</v>
      </c>
    </row>
    <row r="24" spans="2:13" ht="12.75">
      <c r="B24" s="75" t="s">
        <v>387</v>
      </c>
      <c r="C24" s="38">
        <f>-808+19</f>
        <v>-789</v>
      </c>
      <c r="D24" s="38">
        <f>-320+3</f>
        <v>-317</v>
      </c>
      <c r="E24" s="38">
        <f>+C24-D24</f>
        <v>-472</v>
      </c>
      <c r="F24" s="403"/>
      <c r="G24" s="39">
        <f t="shared" si="2"/>
        <v>0</v>
      </c>
      <c r="H24" s="39">
        <f t="shared" si="2"/>
        <v>0</v>
      </c>
      <c r="I24" s="38">
        <f>+G24-H24</f>
        <v>0</v>
      </c>
      <c r="J24" s="403"/>
      <c r="K24" s="39">
        <f>-808+19</f>
        <v>-789</v>
      </c>
      <c r="L24" s="39">
        <f>-320+3</f>
        <v>-317</v>
      </c>
      <c r="M24" s="38">
        <f>+K24-L24</f>
        <v>-472</v>
      </c>
    </row>
    <row r="25" spans="2:13" s="14" customFormat="1" ht="11.25" customHeight="1">
      <c r="B25" s="75" t="s">
        <v>300</v>
      </c>
      <c r="C25" s="38">
        <f>206-19</f>
        <v>187</v>
      </c>
      <c r="D25" s="38">
        <f>69-3</f>
        <v>66</v>
      </c>
      <c r="E25" s="38">
        <f>+C25-D25</f>
        <v>121</v>
      </c>
      <c r="F25" s="403"/>
      <c r="G25" s="39">
        <f t="shared" si="2"/>
        <v>199</v>
      </c>
      <c r="H25" s="39">
        <f t="shared" si="2"/>
        <v>69</v>
      </c>
      <c r="I25" s="38">
        <f>+G25-H25</f>
        <v>130</v>
      </c>
      <c r="J25" s="403"/>
      <c r="K25" s="39">
        <f>7-19</f>
        <v>-12</v>
      </c>
      <c r="L25" s="39">
        <v>-3</v>
      </c>
      <c r="M25" s="38">
        <f>+K25-L25</f>
        <v>-9</v>
      </c>
    </row>
    <row r="26" spans="2:13" ht="11.25" customHeight="1">
      <c r="B26" s="72" t="s">
        <v>352</v>
      </c>
      <c r="C26" s="274">
        <f>SUM(C20:C25)</f>
        <v>35149</v>
      </c>
      <c r="D26" s="274">
        <f>SUM(D20:D25)</f>
        <v>13709</v>
      </c>
      <c r="E26" s="274">
        <f>SUM(E20:E25)</f>
        <v>21440</v>
      </c>
      <c r="F26" s="256"/>
      <c r="G26" s="274">
        <f>SUM(G20:G25)</f>
        <v>28628</v>
      </c>
      <c r="H26" s="274">
        <f>SUM(H20:H25)</f>
        <v>9124</v>
      </c>
      <c r="I26" s="274">
        <f>SUM(I20:I25)</f>
        <v>19504</v>
      </c>
      <c r="J26" s="256"/>
      <c r="K26" s="433">
        <f>SUM(K20:K25)</f>
        <v>6521</v>
      </c>
      <c r="L26" s="433">
        <f>SUM(L20:L25)</f>
        <v>4585</v>
      </c>
      <c r="M26" s="433">
        <f>SUM(M20:M25)</f>
        <v>1936</v>
      </c>
    </row>
    <row r="27" spans="2:13" ht="5.25" customHeight="1">
      <c r="B27" s="72"/>
      <c r="C27" s="34"/>
      <c r="D27" s="34"/>
      <c r="E27" s="34"/>
      <c r="F27" s="403"/>
      <c r="G27" s="34"/>
      <c r="H27" s="34"/>
      <c r="I27" s="34"/>
      <c r="J27" s="403"/>
      <c r="K27" s="34"/>
      <c r="L27" s="34"/>
      <c r="M27" s="34"/>
    </row>
    <row r="28" spans="2:13" ht="12.75">
      <c r="B28" s="84" t="s">
        <v>87</v>
      </c>
      <c r="C28" s="38">
        <f>2812-32</f>
        <v>2780</v>
      </c>
      <c r="D28" s="38">
        <f>988-32</f>
        <v>956</v>
      </c>
      <c r="E28" s="38">
        <f>+C28-D28</f>
        <v>1824</v>
      </c>
      <c r="F28" s="403"/>
      <c r="G28" s="39">
        <f aca="true" t="shared" si="3" ref="G28:H30">+C28-K28</f>
        <v>2477</v>
      </c>
      <c r="H28" s="39">
        <f t="shared" si="3"/>
        <v>710</v>
      </c>
      <c r="I28" s="38">
        <f>+G28-H28</f>
        <v>1767</v>
      </c>
      <c r="J28" s="403"/>
      <c r="K28" s="39">
        <f>221-21+103</f>
        <v>303</v>
      </c>
      <c r="L28" s="39">
        <f>77+169</f>
        <v>246</v>
      </c>
      <c r="M28" s="38">
        <f>+K28-L28</f>
        <v>57</v>
      </c>
    </row>
    <row r="29" spans="2:13" ht="12.75">
      <c r="B29" s="84" t="s">
        <v>88</v>
      </c>
      <c r="C29" s="38">
        <v>-2613</v>
      </c>
      <c r="D29" s="38">
        <v>-1211</v>
      </c>
      <c r="E29" s="38">
        <f>+C29-D29</f>
        <v>-1402</v>
      </c>
      <c r="F29" s="403"/>
      <c r="G29" s="39">
        <f t="shared" si="3"/>
        <v>-2405</v>
      </c>
      <c r="H29" s="39">
        <f t="shared" si="3"/>
        <v>-1078</v>
      </c>
      <c r="I29" s="38">
        <f>+G29-H29</f>
        <v>-1327</v>
      </c>
      <c r="J29" s="403"/>
      <c r="K29" s="39">
        <v>-208</v>
      </c>
      <c r="L29" s="39">
        <v>-133</v>
      </c>
      <c r="M29" s="38">
        <f>+K29-L29</f>
        <v>-75</v>
      </c>
    </row>
    <row r="30" spans="2:13" s="14" customFormat="1" ht="11.25" customHeight="1">
      <c r="B30" s="75" t="s">
        <v>300</v>
      </c>
      <c r="C30" s="38">
        <f>169+32</f>
        <v>201</v>
      </c>
      <c r="D30" s="38">
        <f>23+32</f>
        <v>55</v>
      </c>
      <c r="E30" s="38">
        <f>+C30-D30</f>
        <v>146</v>
      </c>
      <c r="F30" s="403"/>
      <c r="G30" s="39">
        <f t="shared" si="3"/>
        <v>289</v>
      </c>
      <c r="H30" s="39">
        <f t="shared" si="3"/>
        <v>221</v>
      </c>
      <c r="I30" s="38">
        <f>+G30-H30</f>
        <v>68</v>
      </c>
      <c r="J30" s="403"/>
      <c r="K30" s="39">
        <f>15-103</f>
        <v>-88</v>
      </c>
      <c r="L30" s="39">
        <f>3-169</f>
        <v>-166</v>
      </c>
      <c r="M30" s="38">
        <f>+K30-L30</f>
        <v>78</v>
      </c>
    </row>
    <row r="31" spans="2:13" ht="11.25" customHeight="1">
      <c r="B31" s="72" t="s">
        <v>359</v>
      </c>
      <c r="C31" s="274">
        <f>SUM(C26:C30)</f>
        <v>35517</v>
      </c>
      <c r="D31" s="274">
        <f>SUM(D26:D30)</f>
        <v>13509</v>
      </c>
      <c r="E31" s="274">
        <f>SUM(E26:E30)</f>
        <v>22008</v>
      </c>
      <c r="F31" s="256"/>
      <c r="G31" s="274">
        <f>SUM(G26:G30)</f>
        <v>28989</v>
      </c>
      <c r="H31" s="274">
        <f>SUM(H26:H30)</f>
        <v>8977</v>
      </c>
      <c r="I31" s="274">
        <f>SUM(I26:I30)</f>
        <v>20012</v>
      </c>
      <c r="J31" s="256"/>
      <c r="K31" s="433">
        <f>SUM(K26:K30)</f>
        <v>6528</v>
      </c>
      <c r="L31" s="433">
        <f>SUM(L26:L30)</f>
        <v>4532</v>
      </c>
      <c r="M31" s="433">
        <f>SUM(M26:M30)</f>
        <v>1996</v>
      </c>
    </row>
    <row r="32" spans="2:13" ht="5.25" customHeight="1">
      <c r="B32" s="72"/>
      <c r="C32" s="34"/>
      <c r="D32" s="34"/>
      <c r="E32" s="34"/>
      <c r="F32" s="403"/>
      <c r="G32" s="34"/>
      <c r="H32" s="34"/>
      <c r="I32" s="34"/>
      <c r="J32" s="403"/>
      <c r="K32" s="34"/>
      <c r="L32" s="34"/>
      <c r="M32" s="34"/>
    </row>
    <row r="33" spans="2:13" ht="12.75">
      <c r="B33" s="84" t="s">
        <v>87</v>
      </c>
      <c r="C33" s="38">
        <v>2703</v>
      </c>
      <c r="D33" s="38">
        <v>843</v>
      </c>
      <c r="E33" s="38">
        <f>+C33-D33</f>
        <v>1860</v>
      </c>
      <c r="F33" s="256"/>
      <c r="G33" s="39">
        <f aca="true" t="shared" si="4" ref="G33:H35">+C33-K33</f>
        <v>2690</v>
      </c>
      <c r="H33" s="39">
        <f t="shared" si="4"/>
        <v>832</v>
      </c>
      <c r="I33" s="38">
        <f>+G33-H33</f>
        <v>1858</v>
      </c>
      <c r="J33" s="256"/>
      <c r="K33" s="39">
        <v>13</v>
      </c>
      <c r="L33" s="39">
        <v>11</v>
      </c>
      <c r="M33" s="39">
        <f>+K33-L33</f>
        <v>2</v>
      </c>
    </row>
    <row r="34" spans="2:13" ht="12.75">
      <c r="B34" s="84" t="s">
        <v>88</v>
      </c>
      <c r="C34" s="38">
        <v>-2363</v>
      </c>
      <c r="D34" s="38">
        <v>-943</v>
      </c>
      <c r="E34" s="38">
        <f>+C34-D34</f>
        <v>-1420</v>
      </c>
      <c r="F34" s="256"/>
      <c r="G34" s="39">
        <f t="shared" si="4"/>
        <v>-2206</v>
      </c>
      <c r="H34" s="39">
        <f t="shared" si="4"/>
        <v>-797</v>
      </c>
      <c r="I34" s="38">
        <f>+G34-H34</f>
        <v>-1409</v>
      </c>
      <c r="J34" s="256"/>
      <c r="K34" s="39">
        <v>-157</v>
      </c>
      <c r="L34" s="39">
        <v>-146</v>
      </c>
      <c r="M34" s="39">
        <f>+K34-L34</f>
        <v>-11</v>
      </c>
    </row>
    <row r="35" spans="2:13" ht="12.75">
      <c r="B35" s="75" t="s">
        <v>300</v>
      </c>
      <c r="C35" s="38">
        <f>-87+43</f>
        <v>-44</v>
      </c>
      <c r="D35" s="38">
        <f>12-8</f>
        <v>4</v>
      </c>
      <c r="E35" s="38">
        <f>+C35-D35</f>
        <v>-48</v>
      </c>
      <c r="F35" s="256"/>
      <c r="G35" s="39">
        <f t="shared" si="4"/>
        <v>-44</v>
      </c>
      <c r="H35" s="39">
        <f t="shared" si="4"/>
        <v>4</v>
      </c>
      <c r="I35" s="38">
        <f>+G35-H35</f>
        <v>-48</v>
      </c>
      <c r="J35" s="256"/>
      <c r="K35" s="39">
        <v>0</v>
      </c>
      <c r="L35" s="39">
        <v>0</v>
      </c>
      <c r="M35" s="39">
        <f>+K35-L35</f>
        <v>0</v>
      </c>
    </row>
    <row r="36" spans="2:13" ht="11.25" customHeight="1">
      <c r="B36" s="72" t="s">
        <v>373</v>
      </c>
      <c r="C36" s="274">
        <f>SUM(C31:C35)</f>
        <v>35813</v>
      </c>
      <c r="D36" s="274">
        <f>SUM(D31:D35)</f>
        <v>13413</v>
      </c>
      <c r="E36" s="274">
        <f>SUM(E31:E35)</f>
        <v>22400</v>
      </c>
      <c r="F36" s="256"/>
      <c r="G36" s="274">
        <f>SUM(G31:G35)</f>
        <v>29429</v>
      </c>
      <c r="H36" s="274">
        <f>SUM(H31:H35)</f>
        <v>9016</v>
      </c>
      <c r="I36" s="274">
        <f>SUM(I31:I35)</f>
        <v>20413</v>
      </c>
      <c r="J36" s="256"/>
      <c r="K36" s="433">
        <f>SUM(K31:K35)</f>
        <v>6384</v>
      </c>
      <c r="L36" s="433">
        <f>SUM(L31:L35)</f>
        <v>4397</v>
      </c>
      <c r="M36" s="433">
        <f>SUM(M31:M35)</f>
        <v>1987</v>
      </c>
    </row>
    <row r="37" spans="2:13" ht="5.25" customHeight="1">
      <c r="B37" s="72"/>
      <c r="C37" s="34"/>
      <c r="D37" s="34"/>
      <c r="E37" s="34"/>
      <c r="F37" s="403"/>
      <c r="G37" s="34"/>
      <c r="H37" s="34"/>
      <c r="I37" s="34"/>
      <c r="J37" s="403"/>
      <c r="K37" s="34"/>
      <c r="L37" s="34"/>
      <c r="M37" s="34"/>
    </row>
    <row r="38" spans="2:13" ht="12.75">
      <c r="B38" s="84" t="s">
        <v>87</v>
      </c>
      <c r="C38" s="38">
        <f>2686-406</f>
        <v>2280</v>
      </c>
      <c r="D38" s="38">
        <f>893-406</f>
        <v>487</v>
      </c>
      <c r="E38" s="38">
        <f>+C38-D38</f>
        <v>1793</v>
      </c>
      <c r="F38" s="256"/>
      <c r="G38" s="39">
        <f aca="true" t="shared" si="5" ref="G38:H40">+C38-K38</f>
        <v>2249</v>
      </c>
      <c r="H38" s="39">
        <f t="shared" si="5"/>
        <v>473</v>
      </c>
      <c r="I38" s="38">
        <f>+G38-H38</f>
        <v>1776</v>
      </c>
      <c r="J38" s="256"/>
      <c r="K38" s="39">
        <v>31</v>
      </c>
      <c r="L38" s="39">
        <v>14</v>
      </c>
      <c r="M38" s="39">
        <f>+K38-L38</f>
        <v>17</v>
      </c>
    </row>
    <row r="39" spans="2:13" ht="12.75">
      <c r="B39" s="84" t="s">
        <v>88</v>
      </c>
      <c r="C39" s="38">
        <v>-2111</v>
      </c>
      <c r="D39" s="38">
        <v>-758</v>
      </c>
      <c r="E39" s="38">
        <f>+C39-D39</f>
        <v>-1353</v>
      </c>
      <c r="F39" s="256"/>
      <c r="G39" s="39">
        <f t="shared" si="5"/>
        <v>-1977</v>
      </c>
      <c r="H39" s="39">
        <f t="shared" si="5"/>
        <v>-637</v>
      </c>
      <c r="I39" s="38">
        <f>+G39-H39</f>
        <v>-1340</v>
      </c>
      <c r="J39" s="256"/>
      <c r="K39" s="39">
        <v>-134</v>
      </c>
      <c r="L39" s="39">
        <v>-121</v>
      </c>
      <c r="M39" s="39">
        <f>+K39-L39</f>
        <v>-13</v>
      </c>
    </row>
    <row r="40" spans="2:13" ht="12.75">
      <c r="B40" s="75" t="s">
        <v>300</v>
      </c>
      <c r="C40" s="38">
        <v>141</v>
      </c>
      <c r="D40" s="38">
        <v>34</v>
      </c>
      <c r="E40" s="38">
        <f>+C40-D40</f>
        <v>107</v>
      </c>
      <c r="F40" s="256"/>
      <c r="G40" s="39">
        <f t="shared" si="5"/>
        <v>140</v>
      </c>
      <c r="H40" s="39">
        <f t="shared" si="5"/>
        <v>34</v>
      </c>
      <c r="I40" s="38">
        <f>+G40-H40</f>
        <v>106</v>
      </c>
      <c r="J40" s="256"/>
      <c r="K40" s="39">
        <v>1</v>
      </c>
      <c r="L40" s="39">
        <v>0</v>
      </c>
      <c r="M40" s="39">
        <f>+K40-L40</f>
        <v>1</v>
      </c>
    </row>
    <row r="41" spans="2:13" s="14" customFormat="1" ht="11.25" customHeight="1">
      <c r="B41" s="72" t="s">
        <v>419</v>
      </c>
      <c r="C41" s="274">
        <f>+SUM(C36:C40)</f>
        <v>36123</v>
      </c>
      <c r="D41" s="274">
        <f>+SUM(D36:D40)</f>
        <v>13176</v>
      </c>
      <c r="E41" s="274">
        <f>+SUM(E36:E40)</f>
        <v>22947</v>
      </c>
      <c r="F41" s="256"/>
      <c r="G41" s="274">
        <f>+SUM(G36:G40)</f>
        <v>29841</v>
      </c>
      <c r="H41" s="274">
        <f>+SUM(H36:H40)</f>
        <v>8886</v>
      </c>
      <c r="I41" s="274">
        <f>+SUM(I36:I40)</f>
        <v>20955</v>
      </c>
      <c r="J41" s="256"/>
      <c r="K41" s="433">
        <f>+SUM(K36:K40)</f>
        <v>6282</v>
      </c>
      <c r="L41" s="433">
        <f>+SUM(L36:L40)</f>
        <v>4290</v>
      </c>
      <c r="M41" s="433">
        <f>+SUM(M36:M40)</f>
        <v>1992</v>
      </c>
    </row>
    <row r="42" spans="2:13" ht="5.25" customHeight="1">
      <c r="B42" s="72"/>
      <c r="C42" s="34"/>
      <c r="D42" s="34"/>
      <c r="E42" s="34"/>
      <c r="F42" s="403"/>
      <c r="G42" s="34"/>
      <c r="H42" s="34"/>
      <c r="I42" s="34"/>
      <c r="J42" s="403"/>
      <c r="K42" s="34"/>
      <c r="L42" s="34"/>
      <c r="M42" s="34"/>
    </row>
    <row r="43" spans="2:13" ht="12.75">
      <c r="B43" s="84" t="s">
        <v>87</v>
      </c>
      <c r="C43" s="38">
        <v>3010</v>
      </c>
      <c r="D43" s="38">
        <v>1100</v>
      </c>
      <c r="E43" s="38">
        <f>+C43-D43</f>
        <v>1910</v>
      </c>
      <c r="F43" s="256"/>
      <c r="G43" s="39">
        <f aca="true" t="shared" si="6" ref="G43:H45">+C43-K43</f>
        <v>2999</v>
      </c>
      <c r="H43" s="39">
        <f t="shared" si="6"/>
        <v>1093</v>
      </c>
      <c r="I43" s="38">
        <f>+G43-H43</f>
        <v>1906</v>
      </c>
      <c r="J43" s="256"/>
      <c r="K43" s="39">
        <v>11</v>
      </c>
      <c r="L43" s="39">
        <v>7</v>
      </c>
      <c r="M43" s="39">
        <f>+K43-L43</f>
        <v>4</v>
      </c>
    </row>
    <row r="44" spans="2:13" ht="12.75">
      <c r="B44" s="84" t="s">
        <v>88</v>
      </c>
      <c r="C44" s="38">
        <v>-2429</v>
      </c>
      <c r="D44" s="38">
        <v>-948</v>
      </c>
      <c r="E44" s="38">
        <f>+C44-D44</f>
        <v>-1481</v>
      </c>
      <c r="F44" s="256"/>
      <c r="G44" s="39">
        <f t="shared" si="6"/>
        <v>-2269</v>
      </c>
      <c r="H44" s="39">
        <f t="shared" si="6"/>
        <v>-833</v>
      </c>
      <c r="I44" s="38">
        <f>+G44-H44</f>
        <v>-1436</v>
      </c>
      <c r="J44" s="256"/>
      <c r="K44" s="39">
        <v>-160</v>
      </c>
      <c r="L44" s="39">
        <v>-115</v>
      </c>
      <c r="M44" s="39">
        <f>+K44-L44</f>
        <v>-45</v>
      </c>
    </row>
    <row r="45" spans="2:13" ht="12.75">
      <c r="B45" s="75" t="s">
        <v>300</v>
      </c>
      <c r="C45" s="38">
        <v>164</v>
      </c>
      <c r="D45" s="38">
        <v>58</v>
      </c>
      <c r="E45" s="38">
        <f>+C45-D45</f>
        <v>106</v>
      </c>
      <c r="F45" s="256"/>
      <c r="G45" s="39">
        <f t="shared" si="6"/>
        <v>164</v>
      </c>
      <c r="H45" s="39">
        <f t="shared" si="6"/>
        <v>58</v>
      </c>
      <c r="I45" s="38">
        <f>+G45-H45</f>
        <v>106</v>
      </c>
      <c r="J45" s="256"/>
      <c r="K45" s="39">
        <v>0</v>
      </c>
      <c r="L45" s="39">
        <v>0</v>
      </c>
      <c r="M45" s="39">
        <f>+K45-L45</f>
        <v>0</v>
      </c>
    </row>
    <row r="46" spans="2:13" s="14" customFormat="1" ht="12" customHeight="1" thickBot="1">
      <c r="B46" s="72" t="s">
        <v>444</v>
      </c>
      <c r="C46" s="564">
        <f>+SUM(C41:C45)</f>
        <v>36868</v>
      </c>
      <c r="D46" s="564">
        <f>+SUM(D41:D45)</f>
        <v>13386</v>
      </c>
      <c r="E46" s="564">
        <f>+SUM(E41:E45)</f>
        <v>23482</v>
      </c>
      <c r="F46" s="403"/>
      <c r="G46" s="564">
        <f>+SUM(G41:G45)</f>
        <v>30735</v>
      </c>
      <c r="H46" s="564">
        <f>+SUM(H41:H45)</f>
        <v>9204</v>
      </c>
      <c r="I46" s="564">
        <f>+SUM(I41:I45)</f>
        <v>21531</v>
      </c>
      <c r="J46" s="403"/>
      <c r="K46" s="564">
        <f>+SUM(K41:K45)</f>
        <v>6133</v>
      </c>
      <c r="L46" s="564">
        <f>+SUM(L41:L45)</f>
        <v>4182</v>
      </c>
      <c r="M46" s="564">
        <f>+SUM(M41:M45)</f>
        <v>1951</v>
      </c>
    </row>
    <row r="47" spans="2:13" s="14" customFormat="1" ht="5.25" customHeight="1" thickTop="1">
      <c r="B47" s="72"/>
      <c r="C47" s="34"/>
      <c r="D47" s="34"/>
      <c r="E47" s="34"/>
      <c r="F47" s="403"/>
      <c r="G47" s="34"/>
      <c r="H47" s="34"/>
      <c r="I47" s="34"/>
      <c r="J47" s="403"/>
      <c r="K47" s="34"/>
      <c r="L47" s="34"/>
      <c r="M47" s="34"/>
    </row>
    <row r="48" spans="2:13" ht="11.25">
      <c r="B48" s="609" t="s">
        <v>388</v>
      </c>
      <c r="C48" s="609"/>
      <c r="D48" s="609"/>
      <c r="E48" s="609"/>
      <c r="F48" s="609"/>
      <c r="G48" s="609"/>
      <c r="H48" s="609"/>
      <c r="I48" s="609"/>
      <c r="J48" s="609"/>
      <c r="K48" s="609"/>
      <c r="L48" s="609"/>
      <c r="M48" s="609"/>
    </row>
    <row r="49" spans="2:13" ht="18.75" customHeight="1">
      <c r="B49" s="609" t="s">
        <v>405</v>
      </c>
      <c r="C49" s="609"/>
      <c r="D49" s="609"/>
      <c r="E49" s="609"/>
      <c r="F49" s="609"/>
      <c r="G49" s="609"/>
      <c r="H49" s="609"/>
      <c r="I49" s="609"/>
      <c r="J49" s="609"/>
      <c r="K49" s="609"/>
      <c r="L49" s="609"/>
      <c r="M49" s="609"/>
    </row>
    <row r="50" spans="3:5" ht="11.25">
      <c r="C50" s="9"/>
      <c r="D50" s="9"/>
      <c r="E50" s="9"/>
    </row>
    <row r="51" spans="3:5" ht="11.25">
      <c r="C51" s="9"/>
      <c r="D51" s="9"/>
      <c r="E51" s="9"/>
    </row>
    <row r="52" spans="3:5" ht="11.25">
      <c r="C52" s="9"/>
      <c r="D52" s="9"/>
      <c r="E52" s="9"/>
    </row>
    <row r="53" spans="3:5" ht="11.25">
      <c r="C53" s="9"/>
      <c r="D53" s="9"/>
      <c r="E53" s="9"/>
    </row>
    <row r="54" spans="3:5" ht="11.25">
      <c r="C54" s="9"/>
      <c r="D54" s="9"/>
      <c r="E54" s="9"/>
    </row>
    <row r="55" spans="3:5" ht="11.25">
      <c r="C55" s="9"/>
      <c r="D55" s="9"/>
      <c r="E55" s="9"/>
    </row>
  </sheetData>
  <mergeCells count="9">
    <mergeCell ref="B49:M49"/>
    <mergeCell ref="B48:M48"/>
    <mergeCell ref="B1:M1"/>
    <mergeCell ref="B2:M2"/>
    <mergeCell ref="B3:M3"/>
    <mergeCell ref="B4:M4"/>
    <mergeCell ref="C7:E7"/>
    <mergeCell ref="G7:I7"/>
    <mergeCell ref="K7:M7"/>
  </mergeCells>
  <hyperlinks>
    <hyperlink ref="C36" location="'Consol Bal Sheet'!E29" display="'Consol Bal Sheet'!E29"/>
    <hyperlink ref="C15" location="'Consol Bal Sheet'!E29" display="'Consol Bal Sheet'!E29"/>
    <hyperlink ref="C20" location="'Consol Bal Sheet'!E29" display="'Consol Bal Sheet'!E29"/>
    <hyperlink ref="C26" location="'Consol Bal Sheet'!E29" display="'Consol Bal Sheet'!E29"/>
    <hyperlink ref="C31" location="'Consol Bal Sheet'!E29" display="'Consol Bal Sheet'!E29"/>
    <hyperlink ref="D36" location="'Consol Bal Sheet'!E29" display="'Consol Bal Sheet'!E29"/>
    <hyperlink ref="E36" location="'Consol Bal Sheet'!E29" display="'Consol Bal Sheet'!E29"/>
    <hyperlink ref="G36" location="'Consol Bal Sheet'!E29" display="'Consol Bal Sheet'!E29"/>
    <hyperlink ref="H36" location="'Consol Bal Sheet'!E29" display="'Consol Bal Sheet'!E29"/>
    <hyperlink ref="I36" location="'Consol Bal Sheet'!E29" display="'Consol Bal Sheet'!E29"/>
    <hyperlink ref="K36" location="'Consol Bal Sheet'!E29" display="'Consol Bal Sheet'!E29"/>
    <hyperlink ref="L36" location="'Consol Bal Sheet'!E29" display="'Consol Bal Sheet'!E29"/>
    <hyperlink ref="M36" location="'Consol Bal Sheet'!E29" display="'Consol Bal Sheet'!E29"/>
    <hyperlink ref="C41" location="'Consol Bal Sheet'!E29" display="'Consol Bal Sheet'!E29"/>
    <hyperlink ref="D41" location="'Consol Bal Sheet'!E29" display="'Consol Bal Sheet'!E29"/>
    <hyperlink ref="E41" location="'Consol Bal Sheet'!E29" display="'Consol Bal Sheet'!E29"/>
    <hyperlink ref="G41" location="'Consol Bal Sheet'!E29" display="'Consol Bal Sheet'!E29"/>
    <hyperlink ref="H41" location="'Consol Bal Sheet'!E29" display="'Consol Bal Sheet'!E29"/>
    <hyperlink ref="I41" location="'Consol Bal Sheet'!E29" display="'Consol Bal Sheet'!E29"/>
    <hyperlink ref="K41" location="'Consol Bal Sheet'!E29" display="'Consol Bal Sheet'!E29"/>
    <hyperlink ref="L41" location="'Consol Bal Sheet'!E29" display="'Consol Bal Sheet'!E29"/>
    <hyperlink ref="M41" location="'Consol Bal Sheet'!E29" display="'Consol Bal Sheet'!E29"/>
    <hyperlink ref="C46" location="'Consol Bal Sheet'!E29" display="'Consol Bal Sheet'!E29"/>
    <hyperlink ref="D46" location="'Consol Bal Sheet'!E29" display="'Consol Bal Sheet'!E29"/>
    <hyperlink ref="E46" location="'Consol Bal Sheet'!E29" display="'Consol Bal Sheet'!E29"/>
    <hyperlink ref="G46" location="'Consol Bal Sheet'!E29" display="'Consol Bal Sheet'!E29"/>
    <hyperlink ref="H46" location="'Consol Bal Sheet'!E29" display="'Consol Bal Sheet'!E29"/>
    <hyperlink ref="I46" location="'Consol Bal Sheet'!E29" display="'Consol Bal Sheet'!E29"/>
    <hyperlink ref="K46" location="'Consol Bal Sheet'!E29" display="'Consol Bal Sheet'!E29"/>
    <hyperlink ref="L46" location="'Consol Bal Sheet'!E29" display="'Consol Bal Sheet'!E29"/>
    <hyperlink ref="M46" location="'Consol Bal Sheet'!E29" display="'Consol Bal Sheet'!E29"/>
  </hyperlinks>
  <printOptions/>
  <pageMargins left="0.5" right="0.5" top="0.5" bottom="0.55" header="0.75" footer="0.3"/>
  <pageSetup fitToHeight="1" fitToWidth="1" horizontalDpi="600" verticalDpi="600" orientation="landscape" scale="98" r:id="rId2"/>
  <headerFooter alignWithMargins="0">
    <oddFooter>&amp;L&amp;A&amp;R&amp;"Arial,Regular"&amp;8Page 12</oddFooter>
  </headerFooter>
  <drawing r:id="rId1"/>
</worksheet>
</file>

<file path=xl/worksheets/sheet15.xml><?xml version="1.0" encoding="utf-8"?>
<worksheet xmlns="http://schemas.openxmlformats.org/spreadsheetml/2006/main" xmlns:r="http://schemas.openxmlformats.org/officeDocument/2006/relationships">
  <sheetPr codeName="Sheet51"/>
  <dimension ref="A1:BL76"/>
  <sheetViews>
    <sheetView workbookViewId="0" topLeftCell="A1">
      <selection activeCell="A1" sqref="A1:L1"/>
    </sheetView>
  </sheetViews>
  <sheetFormatPr defaultColWidth="9.33203125" defaultRowHeight="12.75"/>
  <cols>
    <col min="1" max="2" width="3.33203125" style="68" customWidth="1"/>
    <col min="3" max="3" width="38.16015625" style="68" customWidth="1"/>
    <col min="4" max="4" width="2.83203125" style="68" customWidth="1"/>
    <col min="5" max="5" width="14.83203125" style="68" customWidth="1"/>
    <col min="6" max="6" width="2.83203125" style="68" customWidth="1"/>
    <col min="7" max="7" width="14.66015625" style="68" customWidth="1"/>
    <col min="8" max="8" width="2.83203125" style="68" customWidth="1"/>
    <col min="9" max="9" width="14.83203125" style="68" customWidth="1"/>
    <col min="10" max="10" width="2.83203125" style="68" customWidth="1"/>
    <col min="11" max="11" width="14.83203125" style="68" customWidth="1"/>
    <col min="12" max="12" width="2.83203125" style="68" customWidth="1"/>
    <col min="13" max="13" width="14.83203125" style="68" customWidth="1"/>
    <col min="14" max="14" width="2.83203125" style="68" customWidth="1"/>
    <col min="15" max="15" width="14.33203125" style="0" customWidth="1"/>
    <col min="16" max="16384" width="10.66015625" style="68" customWidth="1"/>
  </cols>
  <sheetData>
    <row r="1" spans="1:14" ht="14.25" customHeight="1">
      <c r="A1" s="601" t="s">
        <v>89</v>
      </c>
      <c r="B1" s="601"/>
      <c r="C1" s="601"/>
      <c r="D1" s="601"/>
      <c r="E1" s="601"/>
      <c r="F1" s="601"/>
      <c r="G1" s="601"/>
      <c r="H1" s="601"/>
      <c r="I1" s="601"/>
      <c r="J1" s="601"/>
      <c r="K1" s="601"/>
      <c r="L1" s="601"/>
      <c r="M1" s="343"/>
      <c r="N1" s="343"/>
    </row>
    <row r="2" spans="1:14" ht="11.25" customHeight="1">
      <c r="A2" s="630" t="s">
        <v>189</v>
      </c>
      <c r="B2" s="630"/>
      <c r="C2" s="630"/>
      <c r="D2" s="630"/>
      <c r="E2" s="630"/>
      <c r="F2" s="630"/>
      <c r="G2" s="630"/>
      <c r="H2" s="630"/>
      <c r="I2" s="630"/>
      <c r="J2" s="630"/>
      <c r="K2" s="630"/>
      <c r="L2" s="630"/>
      <c r="M2" s="517"/>
      <c r="N2" s="517"/>
    </row>
    <row r="3" spans="1:14" ht="11.25" customHeight="1">
      <c r="A3" s="631" t="s">
        <v>147</v>
      </c>
      <c r="B3" s="631"/>
      <c r="C3" s="631"/>
      <c r="D3" s="631"/>
      <c r="E3" s="631"/>
      <c r="F3" s="631"/>
      <c r="G3" s="631"/>
      <c r="H3" s="631"/>
      <c r="I3" s="631"/>
      <c r="J3" s="631"/>
      <c r="K3" s="631"/>
      <c r="L3" s="631"/>
      <c r="M3" s="346"/>
      <c r="N3" s="346"/>
    </row>
    <row r="4" spans="1:14" ht="11.25" customHeight="1">
      <c r="A4" s="631" t="s">
        <v>163</v>
      </c>
      <c r="B4" s="631"/>
      <c r="C4" s="631"/>
      <c r="D4" s="631"/>
      <c r="E4" s="631"/>
      <c r="F4" s="631"/>
      <c r="G4" s="631"/>
      <c r="H4" s="631"/>
      <c r="I4" s="631"/>
      <c r="J4" s="631"/>
      <c r="K4" s="631"/>
      <c r="L4" s="631"/>
      <c r="M4" s="346"/>
      <c r="N4" s="346"/>
    </row>
    <row r="5" spans="3:17" ht="14.25" customHeight="1">
      <c r="C5" s="501"/>
      <c r="D5" s="501"/>
      <c r="E5" s="501"/>
      <c r="F5" s="278"/>
      <c r="G5" s="278"/>
      <c r="H5" s="278"/>
      <c r="I5" s="278"/>
      <c r="J5" s="278"/>
      <c r="K5" s="278"/>
      <c r="L5" s="278"/>
      <c r="M5" s="278"/>
      <c r="N5" s="278"/>
      <c r="O5" s="278"/>
      <c r="P5" s="278"/>
      <c r="Q5"/>
    </row>
    <row r="6" spans="1:63" ht="14.25" customHeight="1">
      <c r="A6" s="121"/>
      <c r="C6" s="183" t="s">
        <v>37</v>
      </c>
      <c r="D6" s="183"/>
      <c r="E6" s="183"/>
      <c r="F6" s="183"/>
      <c r="G6" s="183"/>
      <c r="H6" s="183"/>
      <c r="I6" s="183"/>
      <c r="J6" s="183"/>
      <c r="K6" s="479"/>
      <c r="L6" s="479"/>
      <c r="M6" s="479"/>
      <c r="N6" s="183"/>
      <c r="O6" s="443"/>
      <c r="P6"/>
      <c r="Q6"/>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69"/>
      <c r="BB6" s="69"/>
      <c r="BC6" s="69"/>
      <c r="BD6" s="69"/>
      <c r="BE6" s="69"/>
      <c r="BF6" s="69"/>
      <c r="BG6" s="69"/>
      <c r="BH6" s="69"/>
      <c r="BI6" s="69"/>
      <c r="BJ6" s="69"/>
      <c r="BK6" s="69"/>
    </row>
    <row r="7" spans="5:64" ht="12.75" customHeight="1">
      <c r="E7" s="196" t="s">
        <v>353</v>
      </c>
      <c r="F7" s="183"/>
      <c r="G7" s="196" t="s">
        <v>420</v>
      </c>
      <c r="H7" s="183"/>
      <c r="I7" s="196" t="s">
        <v>208</v>
      </c>
      <c r="J7" s="183"/>
      <c r="K7" s="196" t="s">
        <v>207</v>
      </c>
      <c r="L7" s="479"/>
      <c r="M7" s="268"/>
      <c r="N7" s="479"/>
      <c r="O7" s="324"/>
      <c r="P7"/>
      <c r="Q7"/>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BD7" s="69"/>
      <c r="BE7" s="69"/>
      <c r="BF7" s="69"/>
      <c r="BG7" s="69"/>
      <c r="BH7" s="69"/>
      <c r="BI7" s="69"/>
      <c r="BJ7" s="69"/>
      <c r="BK7" s="69"/>
      <c r="BL7" s="69"/>
    </row>
    <row r="8" spans="3:17" ht="12.75" customHeight="1">
      <c r="C8" s="143"/>
      <c r="D8" s="143"/>
      <c r="E8" s="22">
        <v>2007</v>
      </c>
      <c r="F8" s="143"/>
      <c r="G8" s="22">
        <v>2007</v>
      </c>
      <c r="H8" s="143"/>
      <c r="I8" s="22">
        <v>2007</v>
      </c>
      <c r="J8" s="143"/>
      <c r="K8" s="22">
        <v>2006</v>
      </c>
      <c r="L8" s="372"/>
      <c r="M8" s="29"/>
      <c r="N8" s="372"/>
      <c r="O8" s="29"/>
      <c r="P8"/>
      <c r="Q8"/>
    </row>
    <row r="9" spans="3:17" ht="4.5" customHeight="1">
      <c r="C9" s="143"/>
      <c r="D9" s="143"/>
      <c r="E9" s="161"/>
      <c r="F9" s="143"/>
      <c r="G9" s="161"/>
      <c r="H9" s="143"/>
      <c r="I9" s="161"/>
      <c r="J9" s="143"/>
      <c r="K9" s="161"/>
      <c r="L9" s="372"/>
      <c r="M9" s="372"/>
      <c r="N9" s="372"/>
      <c r="O9" s="372"/>
      <c r="P9"/>
      <c r="Q9"/>
    </row>
    <row r="10" spans="3:17" ht="11.25" customHeight="1">
      <c r="C10" s="191" t="s">
        <v>333</v>
      </c>
      <c r="D10" s="191"/>
      <c r="E10" s="121"/>
      <c r="F10" s="191"/>
      <c r="G10" s="121"/>
      <c r="H10" s="191"/>
      <c r="I10" s="121"/>
      <c r="J10" s="191"/>
      <c r="K10" s="121"/>
      <c r="L10" s="480"/>
      <c r="M10" s="121"/>
      <c r="N10" s="480"/>
      <c r="O10" s="121"/>
      <c r="P10"/>
      <c r="Q10"/>
    </row>
    <row r="11" spans="3:17" ht="13.5" customHeight="1">
      <c r="C11" s="23" t="s">
        <v>260</v>
      </c>
      <c r="D11" s="23"/>
      <c r="E11" s="31">
        <v>761</v>
      </c>
      <c r="F11" s="23"/>
      <c r="G11" s="31">
        <v>820</v>
      </c>
      <c r="H11" s="23"/>
      <c r="I11" s="31">
        <v>922</v>
      </c>
      <c r="J11" s="23"/>
      <c r="K11" s="31">
        <v>1013</v>
      </c>
      <c r="L11" s="61"/>
      <c r="M11" s="32"/>
      <c r="N11" s="141"/>
      <c r="O11" s="32"/>
      <c r="P11" s="256"/>
      <c r="Q11"/>
    </row>
    <row r="12" spans="3:17" ht="13.5" customHeight="1">
      <c r="C12" s="23" t="s">
        <v>252</v>
      </c>
      <c r="D12" s="23"/>
      <c r="E12" s="63">
        <v>227</v>
      </c>
      <c r="F12" s="23"/>
      <c r="G12" s="63">
        <v>245</v>
      </c>
      <c r="H12" s="23"/>
      <c r="I12" s="63">
        <v>242</v>
      </c>
      <c r="J12" s="23"/>
      <c r="K12" s="63">
        <v>251</v>
      </c>
      <c r="L12" s="61"/>
      <c r="M12" s="38"/>
      <c r="N12" s="141"/>
      <c r="O12" s="38"/>
      <c r="P12" s="256"/>
      <c r="Q12"/>
    </row>
    <row r="13" spans="3:17" ht="13.5" customHeight="1">
      <c r="C13" s="23" t="s">
        <v>348</v>
      </c>
      <c r="D13" s="23"/>
      <c r="E13" s="63">
        <v>29</v>
      </c>
      <c r="F13" s="23"/>
      <c r="G13" s="63">
        <v>33</v>
      </c>
      <c r="H13" s="23"/>
      <c r="I13" s="63">
        <v>42</v>
      </c>
      <c r="J13" s="23"/>
      <c r="K13" s="63">
        <v>36</v>
      </c>
      <c r="L13" s="61"/>
      <c r="M13" s="38"/>
      <c r="N13" s="141"/>
      <c r="O13" s="38"/>
      <c r="P13" s="256"/>
      <c r="Q13"/>
    </row>
    <row r="14" spans="3:17" ht="13.5" customHeight="1">
      <c r="C14" s="23" t="s">
        <v>349</v>
      </c>
      <c r="D14" s="23"/>
      <c r="E14" s="63">
        <v>13</v>
      </c>
      <c r="F14" s="23"/>
      <c r="G14" s="63">
        <v>16</v>
      </c>
      <c r="H14" s="23"/>
      <c r="I14" s="63">
        <v>17</v>
      </c>
      <c r="J14" s="23"/>
      <c r="K14" s="63">
        <v>16</v>
      </c>
      <c r="L14" s="61"/>
      <c r="M14" s="38"/>
      <c r="N14" s="141"/>
      <c r="O14" s="38"/>
      <c r="P14" s="256"/>
      <c r="Q14"/>
    </row>
    <row r="15" spans="3:17" ht="12.75" customHeight="1" thickBot="1">
      <c r="C15" s="203" t="s">
        <v>59</v>
      </c>
      <c r="D15" s="203"/>
      <c r="E15" s="193">
        <f>+E14+E12+E11+E13</f>
        <v>1030</v>
      </c>
      <c r="F15" s="203"/>
      <c r="G15" s="193">
        <f>+G14+G12+G11+G13</f>
        <v>1114</v>
      </c>
      <c r="H15" s="203"/>
      <c r="I15" s="193">
        <f>+I14+I12+I11+I13</f>
        <v>1223</v>
      </c>
      <c r="J15" s="203"/>
      <c r="K15" s="193">
        <f>+K14+K12+K11+K13</f>
        <v>1316</v>
      </c>
      <c r="L15" s="219"/>
      <c r="M15" s="213"/>
      <c r="N15" s="481"/>
      <c r="O15" s="213"/>
      <c r="P15" s="256"/>
      <c r="Q15"/>
    </row>
    <row r="16" spans="3:17" ht="7.5" customHeight="1" thickTop="1">
      <c r="C16" s="54"/>
      <c r="D16" s="54"/>
      <c r="E16" s="217"/>
      <c r="F16" s="54"/>
      <c r="G16" s="217"/>
      <c r="H16" s="54"/>
      <c r="I16" s="217"/>
      <c r="J16" s="54"/>
      <c r="K16" s="217"/>
      <c r="L16" s="538"/>
      <c r="M16" s="217"/>
      <c r="N16" s="482"/>
      <c r="O16" s="217"/>
      <c r="P16" s="256"/>
      <c r="Q16"/>
    </row>
    <row r="17" spans="3:64" ht="11.25" customHeight="1">
      <c r="C17" s="191" t="s">
        <v>347</v>
      </c>
      <c r="D17" s="191"/>
      <c r="E17" s="223"/>
      <c r="F17" s="191"/>
      <c r="G17" s="223"/>
      <c r="H17" s="191"/>
      <c r="I17" s="223"/>
      <c r="J17" s="191"/>
      <c r="K17" s="223"/>
      <c r="L17" s="480"/>
      <c r="M17" s="217"/>
      <c r="N17" s="483"/>
      <c r="O17" s="217"/>
      <c r="P17" s="256"/>
      <c r="Q17"/>
      <c r="R17" s="69"/>
      <c r="S17" s="69"/>
      <c r="T17" s="69"/>
      <c r="U17" s="69"/>
      <c r="V17" s="69"/>
      <c r="W17" s="69"/>
      <c r="X17" s="69"/>
      <c r="Y17" s="69"/>
      <c r="Z17" s="69"/>
      <c r="AA17" s="69"/>
      <c r="AB17" s="69"/>
      <c r="AC17" s="69"/>
      <c r="AD17" s="69"/>
      <c r="AE17" s="69"/>
      <c r="AF17" s="69"/>
      <c r="AG17" s="69"/>
      <c r="AH17" s="69"/>
      <c r="AI17" s="69"/>
      <c r="AJ17" s="69"/>
      <c r="AK17" s="69"/>
      <c r="AL17" s="69"/>
      <c r="AM17" s="69"/>
      <c r="AN17" s="69"/>
      <c r="AO17" s="69"/>
      <c r="AP17" s="69"/>
      <c r="AQ17" s="69"/>
      <c r="AR17" s="69"/>
      <c r="AS17" s="69"/>
      <c r="AT17" s="69"/>
      <c r="AU17" s="69"/>
      <c r="AV17" s="69"/>
      <c r="AW17" s="69"/>
      <c r="AX17" s="69"/>
      <c r="AY17" s="69"/>
      <c r="AZ17" s="69"/>
      <c r="BA17" s="69"/>
      <c r="BB17" s="69"/>
      <c r="BC17" s="69"/>
      <c r="BD17" s="69"/>
      <c r="BE17" s="69"/>
      <c r="BF17" s="69"/>
      <c r="BG17" s="69"/>
      <c r="BH17" s="69"/>
      <c r="BI17" s="69"/>
      <c r="BJ17" s="69"/>
      <c r="BK17" s="69"/>
      <c r="BL17" s="69"/>
    </row>
    <row r="18" spans="3:17" ht="13.5" customHeight="1">
      <c r="C18" s="23" t="s">
        <v>251</v>
      </c>
      <c r="D18" s="23"/>
      <c r="E18" s="31">
        <v>9753</v>
      </c>
      <c r="F18" s="23"/>
      <c r="G18" s="31">
        <v>9418</v>
      </c>
      <c r="H18" s="23"/>
      <c r="I18" s="31">
        <f>9528-23</f>
        <v>9505</v>
      </c>
      <c r="J18" s="23"/>
      <c r="K18" s="31">
        <f>9502-23</f>
        <v>9479</v>
      </c>
      <c r="L18" s="61"/>
      <c r="M18" s="32"/>
      <c r="N18" s="141"/>
      <c r="O18" s="32"/>
      <c r="P18" s="256"/>
      <c r="Q18"/>
    </row>
    <row r="19" spans="3:17" ht="13.5" customHeight="1">
      <c r="C19" s="23" t="s">
        <v>258</v>
      </c>
      <c r="D19" s="23"/>
      <c r="E19" s="63">
        <v>3211</v>
      </c>
      <c r="F19" s="23"/>
      <c r="G19" s="63">
        <v>3303</v>
      </c>
      <c r="H19" s="23"/>
      <c r="I19" s="63">
        <v>3425</v>
      </c>
      <c r="J19" s="23"/>
      <c r="K19" s="63">
        <v>3535</v>
      </c>
      <c r="L19" s="61"/>
      <c r="M19" s="38"/>
      <c r="N19" s="141"/>
      <c r="O19" s="38"/>
      <c r="P19" s="256"/>
      <c r="Q19"/>
    </row>
    <row r="20" spans="3:17" ht="13.5" customHeight="1">
      <c r="C20" s="23" t="s">
        <v>348</v>
      </c>
      <c r="D20" s="23"/>
      <c r="E20" s="63">
        <v>671</v>
      </c>
      <c r="F20" s="23"/>
      <c r="G20" s="63">
        <v>674</v>
      </c>
      <c r="H20" s="23"/>
      <c r="I20" s="63">
        <f>667+23</f>
        <v>690</v>
      </c>
      <c r="J20" s="23"/>
      <c r="K20" s="63">
        <f>676+23</f>
        <v>699</v>
      </c>
      <c r="L20" s="61"/>
      <c r="M20" s="38"/>
      <c r="N20" s="141"/>
      <c r="O20" s="38"/>
      <c r="P20" s="256"/>
      <c r="Q20"/>
    </row>
    <row r="21" spans="3:17" ht="13.5" customHeight="1">
      <c r="C21" s="23" t="s">
        <v>349</v>
      </c>
      <c r="D21" s="23"/>
      <c r="E21" s="63">
        <v>202</v>
      </c>
      <c r="F21" s="23"/>
      <c r="G21" s="63">
        <v>221</v>
      </c>
      <c r="H21" s="23"/>
      <c r="I21" s="63">
        <v>202</v>
      </c>
      <c r="J21" s="23"/>
      <c r="K21" s="63">
        <v>200</v>
      </c>
      <c r="L21" s="61"/>
      <c r="M21" s="38"/>
      <c r="N21" s="141"/>
      <c r="O21" s="38"/>
      <c r="P21" s="256"/>
      <c r="Q21"/>
    </row>
    <row r="22" spans="3:17" ht="12.75" customHeight="1" thickBot="1">
      <c r="C22" s="203" t="s">
        <v>59</v>
      </c>
      <c r="D22" s="203"/>
      <c r="E22" s="193">
        <f>+E21+E19+E18+E20</f>
        <v>13837</v>
      </c>
      <c r="F22" s="203"/>
      <c r="G22" s="193">
        <f>+G21+G19+G18+G20</f>
        <v>13616</v>
      </c>
      <c r="H22" s="203"/>
      <c r="I22" s="193">
        <f>+I21+I19+I18+I20</f>
        <v>13822</v>
      </c>
      <c r="J22" s="203"/>
      <c r="K22" s="193">
        <f>+K21+K19+K18+K20</f>
        <v>13913</v>
      </c>
      <c r="L22" s="219"/>
      <c r="M22" s="213"/>
      <c r="N22" s="481"/>
      <c r="O22" s="213"/>
      <c r="P22" s="256"/>
      <c r="Q22"/>
    </row>
    <row r="23" spans="5:17" ht="7.5" customHeight="1" thickTop="1">
      <c r="E23" s="231"/>
      <c r="G23" s="231"/>
      <c r="I23" s="231"/>
      <c r="K23" s="231"/>
      <c r="L23" s="81"/>
      <c r="M23" s="484"/>
      <c r="N23" s="464"/>
      <c r="O23" s="484"/>
      <c r="P23" s="256"/>
      <c r="Q23"/>
    </row>
    <row r="24" spans="3:64" ht="11.25" customHeight="1">
      <c r="C24" s="191" t="s">
        <v>174</v>
      </c>
      <c r="D24" s="191"/>
      <c r="E24" s="232"/>
      <c r="F24" s="191"/>
      <c r="G24" s="232"/>
      <c r="H24" s="191"/>
      <c r="I24" s="232"/>
      <c r="J24" s="191"/>
      <c r="K24" s="232"/>
      <c r="L24" s="480"/>
      <c r="M24" s="485"/>
      <c r="N24" s="483"/>
      <c r="O24" s="485"/>
      <c r="P24" s="256"/>
      <c r="Q24"/>
      <c r="R24" s="69"/>
      <c r="S24" s="69"/>
      <c r="T24" s="69"/>
      <c r="U24" s="69"/>
      <c r="V24" s="69"/>
      <c r="W24" s="69"/>
      <c r="X24" s="69"/>
      <c r="Y24" s="69"/>
      <c r="Z24" s="69"/>
      <c r="AA24" s="69"/>
      <c r="AB24" s="69"/>
      <c r="AC24" s="69"/>
      <c r="AD24" s="69"/>
      <c r="AE24" s="69"/>
      <c r="AF24" s="69"/>
      <c r="AG24" s="69"/>
      <c r="AH24" s="69"/>
      <c r="AI24" s="69"/>
      <c r="AJ24" s="69"/>
      <c r="AK24" s="69"/>
      <c r="AL24" s="69"/>
      <c r="AM24" s="69"/>
      <c r="AN24" s="69"/>
      <c r="AO24" s="69"/>
      <c r="AP24" s="69"/>
      <c r="AQ24" s="69"/>
      <c r="AR24" s="69"/>
      <c r="AS24" s="69"/>
      <c r="AT24" s="69"/>
      <c r="AU24" s="69"/>
      <c r="AV24" s="69"/>
      <c r="AW24" s="69"/>
      <c r="AX24" s="69"/>
      <c r="AY24" s="69"/>
      <c r="AZ24" s="69"/>
      <c r="BA24" s="69"/>
      <c r="BB24" s="69"/>
      <c r="BC24" s="69"/>
      <c r="BD24" s="69"/>
      <c r="BE24" s="69"/>
      <c r="BF24" s="69"/>
      <c r="BG24" s="69"/>
      <c r="BH24" s="69"/>
      <c r="BI24" s="69"/>
      <c r="BJ24" s="69"/>
      <c r="BK24" s="69"/>
      <c r="BL24" s="69"/>
    </row>
    <row r="25" spans="3:19" ht="13.5" customHeight="1">
      <c r="C25" s="23" t="s">
        <v>251</v>
      </c>
      <c r="D25" s="23"/>
      <c r="E25" s="31">
        <f>E11+E18</f>
        <v>10514</v>
      </c>
      <c r="F25" s="23"/>
      <c r="G25" s="31">
        <f>G11+G18</f>
        <v>10238</v>
      </c>
      <c r="H25" s="23"/>
      <c r="I25" s="31">
        <f>I11+I18</f>
        <v>10427</v>
      </c>
      <c r="J25" s="23"/>
      <c r="K25" s="31">
        <v>10515</v>
      </c>
      <c r="L25" s="61"/>
      <c r="M25" s="32"/>
      <c r="N25" s="141"/>
      <c r="O25" s="32"/>
      <c r="P25" s="256"/>
      <c r="Q25"/>
      <c r="S25" s="262"/>
    </row>
    <row r="26" spans="3:17" ht="13.5" customHeight="1">
      <c r="C26" s="23" t="s">
        <v>258</v>
      </c>
      <c r="D26" s="23"/>
      <c r="E26" s="63">
        <f>E12+E19</f>
        <v>3438</v>
      </c>
      <c r="F26" s="23"/>
      <c r="G26" s="63">
        <f>G12+G19</f>
        <v>3548</v>
      </c>
      <c r="H26" s="23"/>
      <c r="I26" s="63">
        <f>I12+I19</f>
        <v>3667</v>
      </c>
      <c r="J26" s="23"/>
      <c r="K26" s="63">
        <v>3786</v>
      </c>
      <c r="L26" s="61"/>
      <c r="M26" s="38"/>
      <c r="N26" s="141"/>
      <c r="O26" s="38"/>
      <c r="P26" s="256"/>
      <c r="Q26"/>
    </row>
    <row r="27" spans="3:17" ht="13.5" customHeight="1">
      <c r="C27" s="23" t="s">
        <v>348</v>
      </c>
      <c r="D27" s="23"/>
      <c r="E27" s="63">
        <f>E13+E20</f>
        <v>700</v>
      </c>
      <c r="F27" s="23"/>
      <c r="G27" s="63">
        <f>G13+G20</f>
        <v>707</v>
      </c>
      <c r="H27" s="23"/>
      <c r="I27" s="63">
        <f>I13+I20</f>
        <v>732</v>
      </c>
      <c r="J27" s="23"/>
      <c r="K27" s="63">
        <v>712</v>
      </c>
      <c r="L27" s="61"/>
      <c r="M27" s="38"/>
      <c r="N27" s="141"/>
      <c r="O27" s="38"/>
      <c r="P27" s="256"/>
      <c r="Q27"/>
    </row>
    <row r="28" spans="3:17" ht="13.5" customHeight="1">
      <c r="C28" s="23" t="s">
        <v>349</v>
      </c>
      <c r="D28" s="23"/>
      <c r="E28" s="63">
        <f>E14+E21</f>
        <v>215</v>
      </c>
      <c r="F28" s="23"/>
      <c r="G28" s="63">
        <f>G14+G21</f>
        <v>237</v>
      </c>
      <c r="H28" s="23"/>
      <c r="I28" s="63">
        <f>I14+I21</f>
        <v>219</v>
      </c>
      <c r="J28" s="23"/>
      <c r="K28" s="63">
        <v>216</v>
      </c>
      <c r="L28" s="61"/>
      <c r="M28" s="38"/>
      <c r="N28" s="141"/>
      <c r="O28" s="38"/>
      <c r="P28" s="256"/>
      <c r="Q28"/>
    </row>
    <row r="29" spans="3:64" ht="13.5" thickBot="1">
      <c r="C29" s="203" t="s">
        <v>59</v>
      </c>
      <c r="D29" s="203"/>
      <c r="E29" s="193">
        <f>+E28+E26+E25+E27</f>
        <v>14867</v>
      </c>
      <c r="F29" s="203"/>
      <c r="G29" s="193">
        <f>+G28+G26+G25+G27</f>
        <v>14730</v>
      </c>
      <c r="H29" s="203"/>
      <c r="I29" s="193">
        <f>+I28+I26+I25+I27</f>
        <v>15045</v>
      </c>
      <c r="J29" s="203"/>
      <c r="K29" s="193">
        <f>+K28+K26+K25+K27</f>
        <v>15229</v>
      </c>
      <c r="L29" s="219"/>
      <c r="M29" s="213"/>
      <c r="N29" s="481"/>
      <c r="O29" s="213"/>
      <c r="P29" s="256"/>
      <c r="Q29"/>
      <c r="R29" s="69"/>
      <c r="S29" s="69"/>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c r="AV29" s="69"/>
      <c r="AW29" s="69"/>
      <c r="AX29" s="69"/>
      <c r="AY29" s="69"/>
      <c r="AZ29" s="69"/>
      <c r="BA29" s="69"/>
      <c r="BB29" s="69"/>
      <c r="BC29" s="69"/>
      <c r="BD29" s="69"/>
      <c r="BE29" s="69"/>
      <c r="BF29" s="69"/>
      <c r="BG29" s="69"/>
      <c r="BH29" s="69"/>
      <c r="BI29" s="69"/>
      <c r="BJ29" s="69"/>
      <c r="BK29" s="69"/>
      <c r="BL29" s="69"/>
    </row>
    <row r="30" spans="3:64" ht="7.5" customHeight="1" thickTop="1">
      <c r="C30" s="54"/>
      <c r="D30" s="54"/>
      <c r="E30" s="217"/>
      <c r="F30" s="54"/>
      <c r="G30" s="217"/>
      <c r="H30" s="54"/>
      <c r="I30" s="217"/>
      <c r="J30" s="54"/>
      <c r="K30" s="217"/>
      <c r="L30" s="538"/>
      <c r="M30" s="217"/>
      <c r="N30" s="482"/>
      <c r="O30" s="217"/>
      <c r="P30" s="256"/>
      <c r="Q30"/>
      <c r="R30" s="69"/>
      <c r="S30" s="69"/>
      <c r="T30" s="69"/>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c r="AV30" s="69"/>
      <c r="AW30" s="69"/>
      <c r="AX30" s="69"/>
      <c r="AY30" s="69"/>
      <c r="AZ30" s="69"/>
      <c r="BA30" s="69"/>
      <c r="BB30" s="69"/>
      <c r="BC30" s="69"/>
      <c r="BD30" s="69"/>
      <c r="BE30" s="69"/>
      <c r="BF30" s="69"/>
      <c r="BG30" s="69"/>
      <c r="BH30" s="69"/>
      <c r="BI30" s="69"/>
      <c r="BJ30" s="69"/>
      <c r="BK30" s="69"/>
      <c r="BL30" s="69"/>
    </row>
    <row r="31" spans="3:64" ht="11.25" customHeight="1">
      <c r="C31" s="191" t="s">
        <v>343</v>
      </c>
      <c r="D31" s="191"/>
      <c r="E31" s="233"/>
      <c r="F31" s="191"/>
      <c r="G31" s="233"/>
      <c r="H31" s="191"/>
      <c r="I31" s="233"/>
      <c r="J31" s="191"/>
      <c r="K31" s="233"/>
      <c r="L31" s="480"/>
      <c r="M31" s="486"/>
      <c r="N31" s="483"/>
      <c r="O31" s="486"/>
      <c r="P31" s="256"/>
      <c r="Q31"/>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69"/>
    </row>
    <row r="32" spans="3:17" ht="13.5" customHeight="1">
      <c r="C32" s="23" t="s">
        <v>251</v>
      </c>
      <c r="D32" s="23"/>
      <c r="E32" s="31">
        <v>-430</v>
      </c>
      <c r="F32" s="23"/>
      <c r="G32" s="31">
        <v>-427</v>
      </c>
      <c r="H32" s="23"/>
      <c r="I32" s="31">
        <f>-478+23</f>
        <v>-455</v>
      </c>
      <c r="J32" s="23"/>
      <c r="K32" s="31">
        <f>-450+23</f>
        <v>-427</v>
      </c>
      <c r="L32" s="61"/>
      <c r="M32" s="32"/>
      <c r="N32" s="141"/>
      <c r="O32" s="32"/>
      <c r="P32" s="256"/>
      <c r="Q32"/>
    </row>
    <row r="33" spans="3:17" ht="13.5" customHeight="1">
      <c r="C33" s="23" t="s">
        <v>252</v>
      </c>
      <c r="D33" s="23"/>
      <c r="E33" s="63">
        <v>-164</v>
      </c>
      <c r="F33" s="23"/>
      <c r="G33" s="63">
        <v>-169</v>
      </c>
      <c r="H33" s="23"/>
      <c r="I33" s="63">
        <v>-169</v>
      </c>
      <c r="J33" s="23"/>
      <c r="K33" s="63">
        <v>-172</v>
      </c>
      <c r="L33" s="61"/>
      <c r="M33" s="38"/>
      <c r="N33" s="141"/>
      <c r="O33" s="38"/>
      <c r="P33" s="256"/>
      <c r="Q33"/>
    </row>
    <row r="34" spans="3:17" ht="13.5" customHeight="1">
      <c r="C34" s="23" t="s">
        <v>348</v>
      </c>
      <c r="D34" s="23"/>
      <c r="E34" s="63">
        <v>-31</v>
      </c>
      <c r="F34" s="23"/>
      <c r="G34" s="63">
        <v>-31</v>
      </c>
      <c r="H34" s="23"/>
      <c r="I34" s="63">
        <f>-7-23</f>
        <v>-30</v>
      </c>
      <c r="J34" s="23"/>
      <c r="K34" s="63">
        <f>-7-23</f>
        <v>-30</v>
      </c>
      <c r="L34" s="61"/>
      <c r="M34" s="38"/>
      <c r="N34" s="141"/>
      <c r="O34" s="38"/>
      <c r="P34" s="256"/>
      <c r="Q34"/>
    </row>
    <row r="35" spans="3:17" ht="13.5" customHeight="1">
      <c r="C35" s="23" t="s">
        <v>349</v>
      </c>
      <c r="D35" s="23"/>
      <c r="E35" s="63">
        <v>-24</v>
      </c>
      <c r="F35" s="23"/>
      <c r="G35" s="63">
        <v>-22</v>
      </c>
      <c r="H35" s="23"/>
      <c r="I35" s="63">
        <v>-17</v>
      </c>
      <c r="J35" s="23"/>
      <c r="K35" s="63">
        <v>-20</v>
      </c>
      <c r="L35" s="61"/>
      <c r="M35" s="38"/>
      <c r="N35" s="141"/>
      <c r="O35" s="38"/>
      <c r="P35" s="256"/>
      <c r="Q35"/>
    </row>
    <row r="36" spans="3:17" ht="12.75" customHeight="1" thickBot="1">
      <c r="C36" s="23" t="s">
        <v>59</v>
      </c>
      <c r="D36" s="23"/>
      <c r="E36" s="193">
        <f>+E35+E33+E32+E34</f>
        <v>-649</v>
      </c>
      <c r="F36" s="23"/>
      <c r="G36" s="193">
        <f>+G35+G33+G32+G34</f>
        <v>-649</v>
      </c>
      <c r="H36" s="23"/>
      <c r="I36" s="193">
        <f>+I35+I33+I32+I34</f>
        <v>-671</v>
      </c>
      <c r="J36" s="23"/>
      <c r="K36" s="193">
        <f>+K35+K33+K32+K34</f>
        <v>-649</v>
      </c>
      <c r="L36" s="61"/>
      <c r="M36" s="213"/>
      <c r="N36" s="141"/>
      <c r="O36" s="213"/>
      <c r="P36" s="256"/>
      <c r="Q36"/>
    </row>
    <row r="37" spans="3:64" ht="8.25" customHeight="1" thickTop="1">
      <c r="C37" s="54"/>
      <c r="D37" s="54"/>
      <c r="E37" s="217"/>
      <c r="F37" s="54"/>
      <c r="G37" s="217"/>
      <c r="H37" s="54"/>
      <c r="I37" s="217"/>
      <c r="J37" s="54"/>
      <c r="K37" s="217"/>
      <c r="L37" s="538"/>
      <c r="M37" s="217"/>
      <c r="N37" s="482"/>
      <c r="O37" s="217"/>
      <c r="P37" s="256"/>
      <c r="Q37"/>
      <c r="R37" s="69"/>
      <c r="S37" s="69"/>
      <c r="T37" s="69"/>
      <c r="U37" s="69"/>
      <c r="V37" s="69"/>
      <c r="W37" s="69"/>
      <c r="X37" s="69"/>
      <c r="Y37" s="69"/>
      <c r="Z37" s="69"/>
      <c r="AA37" s="69"/>
      <c r="AB37" s="69"/>
      <c r="AC37" s="69"/>
      <c r="AD37" s="69"/>
      <c r="AE37" s="69"/>
      <c r="AF37" s="69"/>
      <c r="AG37" s="69"/>
      <c r="AH37" s="69"/>
      <c r="AI37" s="69"/>
      <c r="AJ37" s="69"/>
      <c r="AK37" s="69"/>
      <c r="AL37" s="69"/>
      <c r="AM37" s="69"/>
      <c r="AN37" s="69"/>
      <c r="AO37" s="69"/>
      <c r="AP37" s="69"/>
      <c r="AQ37" s="69"/>
      <c r="AR37" s="69"/>
      <c r="AS37" s="69"/>
      <c r="AT37" s="69"/>
      <c r="AU37" s="69"/>
      <c r="AV37" s="69"/>
      <c r="AW37" s="69"/>
      <c r="AX37" s="69"/>
      <c r="AY37" s="69"/>
      <c r="AZ37" s="69"/>
      <c r="BA37" s="69"/>
      <c r="BB37" s="69"/>
      <c r="BC37" s="69"/>
      <c r="BD37" s="69"/>
      <c r="BE37" s="69"/>
      <c r="BF37" s="69"/>
      <c r="BG37" s="69"/>
      <c r="BH37" s="69"/>
      <c r="BI37" s="69"/>
      <c r="BJ37" s="69"/>
      <c r="BK37" s="69"/>
      <c r="BL37" s="69"/>
    </row>
    <row r="38" spans="3:64" ht="11.25" customHeight="1">
      <c r="C38" s="191" t="s">
        <v>153</v>
      </c>
      <c r="D38" s="191"/>
      <c r="E38" s="233"/>
      <c r="F38" s="191"/>
      <c r="G38" s="233"/>
      <c r="H38" s="191"/>
      <c r="I38" s="233"/>
      <c r="J38" s="191"/>
      <c r="K38" s="233"/>
      <c r="L38" s="480"/>
      <c r="M38" s="486"/>
      <c r="N38" s="483"/>
      <c r="O38" s="486"/>
      <c r="P38" s="256"/>
      <c r="Q38"/>
      <c r="R38" s="69"/>
      <c r="S38" s="69"/>
      <c r="T38" s="69"/>
      <c r="U38" s="69"/>
      <c r="V38" s="69"/>
      <c r="W38" s="69"/>
      <c r="X38" s="69"/>
      <c r="Y38" s="69"/>
      <c r="Z38" s="69"/>
      <c r="AA38" s="69"/>
      <c r="AB38" s="69"/>
      <c r="AC38" s="69"/>
      <c r="AD38" s="69"/>
      <c r="AE38" s="69"/>
      <c r="AF38" s="69"/>
      <c r="AG38" s="69"/>
      <c r="AH38" s="69"/>
      <c r="AI38" s="69"/>
      <c r="AJ38" s="69"/>
      <c r="AK38" s="69"/>
      <c r="AL38" s="69"/>
      <c r="AM38" s="69"/>
      <c r="AN38" s="69"/>
      <c r="AO38" s="69"/>
      <c r="AP38" s="69"/>
      <c r="AQ38" s="69"/>
      <c r="AR38" s="69"/>
      <c r="AS38" s="69"/>
      <c r="AT38" s="69"/>
      <c r="AU38" s="69"/>
      <c r="AV38" s="69"/>
      <c r="AW38" s="69"/>
      <c r="AX38" s="69"/>
      <c r="AY38" s="69"/>
      <c r="AZ38" s="69"/>
      <c r="BA38" s="69"/>
      <c r="BB38" s="69"/>
      <c r="BC38" s="69"/>
      <c r="BD38" s="69"/>
      <c r="BE38" s="69"/>
      <c r="BF38" s="69"/>
      <c r="BG38" s="69"/>
      <c r="BH38" s="69"/>
      <c r="BI38" s="69"/>
      <c r="BJ38" s="69"/>
      <c r="BK38" s="69"/>
      <c r="BL38" s="69"/>
    </row>
    <row r="39" spans="3:17" ht="13.5" customHeight="1">
      <c r="C39" s="23" t="s">
        <v>251</v>
      </c>
      <c r="D39" s="23"/>
      <c r="E39" s="31">
        <f>E25+E32</f>
        <v>10084</v>
      </c>
      <c r="F39" s="23"/>
      <c r="G39" s="31">
        <f>G25+G32</f>
        <v>9811</v>
      </c>
      <c r="H39" s="23"/>
      <c r="I39" s="31">
        <f>I25+I32</f>
        <v>9972</v>
      </c>
      <c r="J39" s="23"/>
      <c r="K39" s="31">
        <f>K25+K32</f>
        <v>10088</v>
      </c>
      <c r="L39" s="61"/>
      <c r="M39" s="32"/>
      <c r="N39" s="141"/>
      <c r="O39" s="32"/>
      <c r="P39" s="256"/>
      <c r="Q39"/>
    </row>
    <row r="40" spans="3:17" ht="13.5" customHeight="1">
      <c r="C40" s="23" t="s">
        <v>252</v>
      </c>
      <c r="D40" s="23"/>
      <c r="E40" s="63">
        <f>E26+E33</f>
        <v>3274</v>
      </c>
      <c r="F40" s="23"/>
      <c r="G40" s="63">
        <f>G26+G33</f>
        <v>3379</v>
      </c>
      <c r="H40" s="23"/>
      <c r="I40" s="63">
        <f>I26+I33</f>
        <v>3498</v>
      </c>
      <c r="J40" s="23"/>
      <c r="K40" s="63">
        <f>K26+K33</f>
        <v>3614</v>
      </c>
      <c r="L40" s="61"/>
      <c r="M40" s="38"/>
      <c r="N40" s="141"/>
      <c r="O40" s="38"/>
      <c r="P40" s="256"/>
      <c r="Q40"/>
    </row>
    <row r="41" spans="3:17" ht="13.5" customHeight="1">
      <c r="C41" s="23" t="s">
        <v>348</v>
      </c>
      <c r="D41" s="23"/>
      <c r="E41" s="63">
        <f>E27+E34</f>
        <v>669</v>
      </c>
      <c r="F41" s="23"/>
      <c r="G41" s="63">
        <f>G27+G34</f>
        <v>676</v>
      </c>
      <c r="H41" s="23"/>
      <c r="I41" s="63">
        <f>I27+I34</f>
        <v>702</v>
      </c>
      <c r="J41" s="23"/>
      <c r="K41" s="63">
        <f>K27+K34</f>
        <v>682</v>
      </c>
      <c r="L41" s="61"/>
      <c r="M41" s="38"/>
      <c r="N41" s="141"/>
      <c r="O41" s="38"/>
      <c r="P41" s="256"/>
      <c r="Q41"/>
    </row>
    <row r="42" spans="3:17" ht="13.5" customHeight="1">
      <c r="C42" s="23" t="s">
        <v>349</v>
      </c>
      <c r="D42" s="23"/>
      <c r="E42" s="63">
        <f>E28+E35</f>
        <v>191</v>
      </c>
      <c r="F42" s="23"/>
      <c r="G42" s="63">
        <f>G28+G35</f>
        <v>215</v>
      </c>
      <c r="H42" s="23"/>
      <c r="I42" s="63">
        <f>I28+I35</f>
        <v>202</v>
      </c>
      <c r="J42" s="23"/>
      <c r="K42" s="63">
        <f>K28+K35</f>
        <v>196</v>
      </c>
      <c r="L42" s="61"/>
      <c r="M42" s="38"/>
      <c r="N42" s="141"/>
      <c r="O42" s="38"/>
      <c r="P42" s="256"/>
      <c r="Q42"/>
    </row>
    <row r="43" spans="3:17" ht="12.75" customHeight="1" thickBot="1">
      <c r="C43" s="23" t="s">
        <v>59</v>
      </c>
      <c r="D43" s="23"/>
      <c r="E43" s="193">
        <f>+E42+E40+E39+E41</f>
        <v>14218</v>
      </c>
      <c r="F43" s="23"/>
      <c r="G43" s="193">
        <f>+G42+G40+G39+G41</f>
        <v>14081</v>
      </c>
      <c r="H43" s="23"/>
      <c r="I43" s="193">
        <f>+I42+I40+I39+I41</f>
        <v>14374</v>
      </c>
      <c r="J43" s="23"/>
      <c r="K43" s="193">
        <f>+K42+K40+K39+K41</f>
        <v>14580</v>
      </c>
      <c r="L43" s="61"/>
      <c r="M43" s="213"/>
      <c r="N43" s="141"/>
      <c r="O43" s="213"/>
      <c r="P43" s="256"/>
      <c r="Q43"/>
    </row>
    <row r="44" spans="3:17" ht="12.75" customHeight="1" thickTop="1">
      <c r="C44" s="23"/>
      <c r="D44" s="23"/>
      <c r="E44" s="23"/>
      <c r="F44" s="23"/>
      <c r="G44" s="23"/>
      <c r="H44" s="23"/>
      <c r="I44" s="23"/>
      <c r="J44" s="23"/>
      <c r="K44" s="61"/>
      <c r="L44" s="61"/>
      <c r="M44" s="61"/>
      <c r="N44" s="23"/>
      <c r="O44" s="62"/>
      <c r="P44"/>
      <c r="Q44"/>
    </row>
    <row r="45" spans="3:17" ht="12.75" customHeight="1">
      <c r="C45" s="259"/>
      <c r="D45" s="259"/>
      <c r="E45" s="259"/>
      <c r="F45" s="259"/>
      <c r="G45" s="259"/>
      <c r="H45" s="259"/>
      <c r="I45" s="259"/>
      <c r="J45" s="259"/>
      <c r="K45" s="259"/>
      <c r="L45" s="23"/>
      <c r="M45" s="23"/>
      <c r="N45" s="23"/>
      <c r="O45" s="23"/>
      <c r="P45"/>
      <c r="Q45"/>
    </row>
    <row r="46" spans="3:14" ht="12.75" customHeight="1">
      <c r="C46" s="259"/>
      <c r="D46" s="259"/>
      <c r="E46" s="259"/>
      <c r="F46" s="259"/>
      <c r="G46" s="259"/>
      <c r="H46" s="259"/>
      <c r="I46" s="259"/>
      <c r="J46" s="259"/>
      <c r="K46" s="23"/>
      <c r="L46" s="23"/>
      <c r="M46" s="23"/>
      <c r="N46"/>
    </row>
    <row r="47" spans="3:14" ht="12.75" customHeight="1">
      <c r="C47"/>
      <c r="D47"/>
      <c r="E47"/>
      <c r="F47"/>
      <c r="G47"/>
      <c r="H47"/>
      <c r="I47"/>
      <c r="J47"/>
      <c r="K47" s="23"/>
      <c r="L47" s="23"/>
      <c r="M47" s="23"/>
      <c r="N47"/>
    </row>
    <row r="48" spans="3:14" ht="12.75" customHeight="1">
      <c r="C48" s="23"/>
      <c r="D48" s="23"/>
      <c r="E48" s="23"/>
      <c r="F48" s="23"/>
      <c r="G48" s="23"/>
      <c r="H48" s="23"/>
      <c r="I48" s="23"/>
      <c r="J48" s="23"/>
      <c r="K48" s="23"/>
      <c r="L48" s="23"/>
      <c r="M48" s="23"/>
      <c r="N48"/>
    </row>
    <row r="49" spans="3:14" ht="12.75" customHeight="1">
      <c r="C49" s="23"/>
      <c r="D49" s="23"/>
      <c r="E49" s="23"/>
      <c r="F49" s="23"/>
      <c r="G49" s="23"/>
      <c r="H49" s="23"/>
      <c r="I49" s="23"/>
      <c r="J49" s="23"/>
      <c r="K49" s="23"/>
      <c r="L49" s="23"/>
      <c r="M49" s="23"/>
      <c r="N49"/>
    </row>
    <row r="50" spans="3:14" ht="12.75" customHeight="1">
      <c r="C50" s="23"/>
      <c r="D50" s="23"/>
      <c r="E50" s="23"/>
      <c r="F50" s="23"/>
      <c r="G50" s="23"/>
      <c r="H50" s="23"/>
      <c r="I50" s="23"/>
      <c r="J50" s="23"/>
      <c r="K50" s="23"/>
      <c r="L50" s="23"/>
      <c r="M50" s="23"/>
      <c r="N50"/>
    </row>
    <row r="51" spans="3:14" ht="12.75" customHeight="1">
      <c r="C51" s="23"/>
      <c r="D51" s="23"/>
      <c r="E51" s="23"/>
      <c r="F51" s="23"/>
      <c r="G51" s="23"/>
      <c r="H51" s="23"/>
      <c r="I51" s="23"/>
      <c r="J51" s="23"/>
      <c r="K51" s="23"/>
      <c r="L51" s="23"/>
      <c r="M51" s="23"/>
      <c r="N51"/>
    </row>
    <row r="52" spans="3:14" ht="12.75" customHeight="1">
      <c r="C52" s="23"/>
      <c r="D52" s="23"/>
      <c r="E52" s="23"/>
      <c r="F52" s="23"/>
      <c r="G52" s="23"/>
      <c r="H52" s="23"/>
      <c r="I52" s="23"/>
      <c r="J52" s="23"/>
      <c r="K52" s="23"/>
      <c r="L52" s="23"/>
      <c r="M52" s="23"/>
      <c r="N52" s="23"/>
    </row>
    <row r="53" spans="1:52" ht="12.75">
      <c r="A53" s="214"/>
      <c r="B53" s="215"/>
      <c r="K53" s="245"/>
      <c r="L53" s="245"/>
      <c r="M53" s="245"/>
      <c r="N53" s="245"/>
      <c r="P53" s="69"/>
      <c r="Q53" s="69"/>
      <c r="R53" s="69"/>
      <c r="S53" s="69"/>
      <c r="T53" s="69"/>
      <c r="U53" s="69"/>
      <c r="V53" s="69"/>
      <c r="W53" s="69"/>
      <c r="X53" s="69"/>
      <c r="Y53" s="69"/>
      <c r="Z53" s="69"/>
      <c r="AA53" s="69"/>
      <c r="AB53" s="69"/>
      <c r="AC53" s="69"/>
      <c r="AD53" s="69"/>
      <c r="AE53" s="69"/>
      <c r="AF53" s="69"/>
      <c r="AG53" s="69"/>
      <c r="AH53" s="69"/>
      <c r="AI53" s="69"/>
      <c r="AJ53" s="69"/>
      <c r="AK53" s="69"/>
      <c r="AL53" s="69"/>
      <c r="AM53" s="69"/>
      <c r="AN53" s="69"/>
      <c r="AO53" s="69"/>
      <c r="AP53" s="69"/>
      <c r="AQ53" s="69"/>
      <c r="AR53" s="69"/>
      <c r="AS53" s="69"/>
      <c r="AT53" s="69"/>
      <c r="AU53" s="69"/>
      <c r="AV53" s="69"/>
      <c r="AW53" s="69"/>
      <c r="AX53" s="69"/>
      <c r="AY53" s="69"/>
      <c r="AZ53" s="69"/>
    </row>
    <row r="54" spans="1:52" ht="12" customHeight="1">
      <c r="A54" s="214"/>
      <c r="B54" s="214"/>
      <c r="C54" s="216"/>
      <c r="D54" s="216"/>
      <c r="E54" s="216"/>
      <c r="F54" s="216"/>
      <c r="G54" s="216"/>
      <c r="H54" s="216"/>
      <c r="I54" s="216"/>
      <c r="J54" s="216"/>
      <c r="K54" s="216"/>
      <c r="L54" s="216"/>
      <c r="M54" s="216"/>
      <c r="N54" s="216"/>
      <c r="P54" s="69"/>
      <c r="Q54" s="69"/>
      <c r="R54" s="69"/>
      <c r="S54" s="69"/>
      <c r="T54" s="69"/>
      <c r="U54" s="69"/>
      <c r="V54" s="69"/>
      <c r="W54" s="69"/>
      <c r="X54" s="69"/>
      <c r="Y54" s="69"/>
      <c r="Z54" s="69"/>
      <c r="AA54" s="69"/>
      <c r="AB54" s="69"/>
      <c r="AC54" s="69"/>
      <c r="AD54" s="69"/>
      <c r="AE54" s="69"/>
      <c r="AF54" s="69"/>
      <c r="AG54" s="69"/>
      <c r="AH54" s="69"/>
      <c r="AI54" s="69"/>
      <c r="AJ54" s="69"/>
      <c r="AK54" s="69"/>
      <c r="AL54" s="69"/>
      <c r="AM54" s="69"/>
      <c r="AN54" s="69"/>
      <c r="AO54" s="69"/>
      <c r="AP54" s="69"/>
      <c r="AQ54" s="69"/>
      <c r="AR54" s="69"/>
      <c r="AS54" s="69"/>
      <c r="AT54" s="69"/>
      <c r="AU54" s="69"/>
      <c r="AV54" s="69"/>
      <c r="AW54" s="69"/>
      <c r="AX54" s="69"/>
      <c r="AY54" s="69"/>
      <c r="AZ54" s="69"/>
    </row>
    <row r="55" spans="16:52" ht="12" customHeight="1">
      <c r="P55" s="69"/>
      <c r="Q55" s="69"/>
      <c r="R55" s="69"/>
      <c r="S55" s="69"/>
      <c r="T55" s="69"/>
      <c r="U55" s="69"/>
      <c r="V55" s="69"/>
      <c r="W55" s="69"/>
      <c r="X55" s="69"/>
      <c r="Y55" s="69"/>
      <c r="Z55" s="69"/>
      <c r="AA55" s="69"/>
      <c r="AB55" s="69"/>
      <c r="AC55" s="69"/>
      <c r="AD55" s="69"/>
      <c r="AE55" s="69"/>
      <c r="AF55" s="69"/>
      <c r="AG55" s="69"/>
      <c r="AH55" s="69"/>
      <c r="AI55" s="69"/>
      <c r="AJ55" s="69"/>
      <c r="AK55" s="69"/>
      <c r="AL55" s="69"/>
      <c r="AM55" s="69"/>
      <c r="AN55" s="69"/>
      <c r="AO55" s="69"/>
      <c r="AP55" s="69"/>
      <c r="AQ55" s="69"/>
      <c r="AR55" s="69"/>
      <c r="AS55" s="69"/>
      <c r="AT55" s="69"/>
      <c r="AU55" s="69"/>
      <c r="AV55" s="69"/>
      <c r="AW55" s="69"/>
      <c r="AX55" s="69"/>
      <c r="AY55" s="69"/>
      <c r="AZ55" s="69"/>
    </row>
    <row r="56" spans="3:55" ht="12" customHeight="1">
      <c r="C56" s="69"/>
      <c r="D56" s="69"/>
      <c r="E56" s="69"/>
      <c r="F56" s="69"/>
      <c r="G56" s="69"/>
      <c r="H56" s="69"/>
      <c r="I56" s="69"/>
      <c r="J56" s="69"/>
      <c r="K56" s="69"/>
      <c r="L56" s="69"/>
      <c r="M56" s="69"/>
      <c r="N56" s="69"/>
      <c r="P56" s="69"/>
      <c r="Q56" s="69"/>
      <c r="R56" s="69"/>
      <c r="S56" s="69"/>
      <c r="T56" s="69"/>
      <c r="U56" s="69"/>
      <c r="V56" s="69"/>
      <c r="W56" s="69"/>
      <c r="X56" s="69"/>
      <c r="Y56" s="69"/>
      <c r="Z56" s="69"/>
      <c r="AA56" s="69"/>
      <c r="AB56" s="69"/>
      <c r="AC56" s="69"/>
      <c r="AD56" s="69"/>
      <c r="AE56" s="69"/>
      <c r="AF56" s="69"/>
      <c r="AG56" s="69"/>
      <c r="AH56" s="69"/>
      <c r="AI56" s="69"/>
      <c r="AJ56" s="69"/>
      <c r="AK56" s="69"/>
      <c r="AL56" s="69"/>
      <c r="AM56" s="69"/>
      <c r="AN56" s="69"/>
      <c r="AO56" s="69"/>
      <c r="AP56" s="69"/>
      <c r="AQ56" s="69"/>
      <c r="AR56" s="69"/>
      <c r="AS56" s="69"/>
      <c r="AT56" s="69"/>
      <c r="AU56" s="69"/>
      <c r="AV56" s="69"/>
      <c r="AW56" s="69"/>
      <c r="AX56" s="69"/>
      <c r="AY56" s="69"/>
      <c r="AZ56" s="69"/>
      <c r="BA56" s="69"/>
      <c r="BB56" s="69"/>
      <c r="BC56" s="69"/>
    </row>
    <row r="57" spans="3:55" ht="12.75" customHeight="1">
      <c r="C57" s="69"/>
      <c r="D57" s="69"/>
      <c r="E57" s="69"/>
      <c r="F57" s="69"/>
      <c r="G57" s="69"/>
      <c r="H57" s="69"/>
      <c r="I57" s="69"/>
      <c r="J57" s="69"/>
      <c r="K57" s="69"/>
      <c r="L57" s="69"/>
      <c r="M57" s="69"/>
      <c r="N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69"/>
      <c r="AN57" s="69"/>
      <c r="AO57" s="69"/>
      <c r="AP57" s="69"/>
      <c r="AQ57" s="69"/>
      <c r="AR57" s="69"/>
      <c r="AS57" s="69"/>
      <c r="AT57" s="69"/>
      <c r="AU57" s="69"/>
      <c r="AV57" s="69"/>
      <c r="AW57" s="69"/>
      <c r="AX57" s="69"/>
      <c r="AY57" s="69"/>
      <c r="AZ57" s="69"/>
      <c r="BA57" s="69"/>
      <c r="BB57" s="69"/>
      <c r="BC57" s="69"/>
    </row>
    <row r="58" spans="3:55" ht="11.25" customHeight="1">
      <c r="C58" s="69"/>
      <c r="D58" s="69"/>
      <c r="E58" s="69"/>
      <c r="F58" s="69"/>
      <c r="G58" s="69"/>
      <c r="H58" s="69"/>
      <c r="I58" s="69"/>
      <c r="J58" s="69"/>
      <c r="K58" s="69"/>
      <c r="L58" s="69"/>
      <c r="M58" s="69"/>
      <c r="N58" s="69"/>
      <c r="P58" s="69"/>
      <c r="Q58" s="69"/>
      <c r="R58" s="69"/>
      <c r="S58" s="69"/>
      <c r="T58" s="69"/>
      <c r="U58" s="69"/>
      <c r="V58" s="69"/>
      <c r="W58" s="69"/>
      <c r="X58" s="69"/>
      <c r="Y58" s="69"/>
      <c r="Z58" s="69"/>
      <c r="AA58" s="69"/>
      <c r="AB58" s="69"/>
      <c r="AC58" s="69"/>
      <c r="AD58" s="69"/>
      <c r="AE58" s="69"/>
      <c r="AF58" s="69"/>
      <c r="AG58" s="69"/>
      <c r="AH58" s="69"/>
      <c r="AI58" s="69"/>
      <c r="AJ58" s="69"/>
      <c r="AK58" s="69"/>
      <c r="AL58" s="69"/>
      <c r="AM58" s="69"/>
      <c r="AN58" s="69"/>
      <c r="AO58" s="69"/>
      <c r="AP58" s="69"/>
      <c r="AQ58" s="69"/>
      <c r="AR58" s="69"/>
      <c r="AS58" s="69"/>
      <c r="AT58" s="69"/>
      <c r="AU58" s="69"/>
      <c r="AV58" s="69"/>
      <c r="AW58" s="69"/>
      <c r="AX58" s="69"/>
      <c r="AY58" s="69"/>
      <c r="AZ58" s="69"/>
      <c r="BA58" s="69"/>
      <c r="BB58" s="69"/>
      <c r="BC58" s="69"/>
    </row>
    <row r="59" ht="12" customHeight="1"/>
    <row r="60" ht="12.75" customHeight="1"/>
    <row r="61" ht="15" customHeight="1"/>
    <row r="62" ht="12" customHeight="1"/>
    <row r="63" spans="11:14" ht="12" customHeight="1">
      <c r="K63"/>
      <c r="L63"/>
      <c r="M63"/>
      <c r="N63"/>
    </row>
    <row r="64" spans="16:19" ht="12" customHeight="1">
      <c r="P64"/>
      <c r="Q64"/>
      <c r="R64"/>
      <c r="S64"/>
    </row>
    <row r="65" spans="1:21" ht="12" customHeight="1">
      <c r="A65" s="511" t="s">
        <v>356</v>
      </c>
      <c r="C65" s="234" t="s">
        <v>190</v>
      </c>
      <c r="D65" s="234"/>
      <c r="E65" s="585">
        <v>39355</v>
      </c>
      <c r="F65" s="234"/>
      <c r="G65" s="235">
        <v>39263</v>
      </c>
      <c r="H65" s="234"/>
      <c r="I65" s="235">
        <v>39172</v>
      </c>
      <c r="J65" s="234"/>
      <c r="K65" s="235">
        <v>39082</v>
      </c>
      <c r="L65" s="234"/>
      <c r="M65"/>
      <c r="N65"/>
      <c r="P65" s="234"/>
      <c r="Q65"/>
      <c r="R65"/>
      <c r="S65"/>
      <c r="T65"/>
      <c r="U65"/>
    </row>
    <row r="66" spans="3:21" ht="12" customHeight="1">
      <c r="C66" s="236" t="s">
        <v>153</v>
      </c>
      <c r="D66" s="236"/>
      <c r="E66" s="586">
        <f>+E43</f>
        <v>14218</v>
      </c>
      <c r="F66" s="236"/>
      <c r="G66" s="275">
        <f>+G43</f>
        <v>14081</v>
      </c>
      <c r="H66" s="236"/>
      <c r="I66" s="275">
        <f>+I43</f>
        <v>14374</v>
      </c>
      <c r="J66" s="236"/>
      <c r="K66" s="275">
        <f>+K43</f>
        <v>14580</v>
      </c>
      <c r="L66" s="236"/>
      <c r="M66"/>
      <c r="N66"/>
      <c r="P66" s="236"/>
      <c r="Q66"/>
      <c r="R66"/>
      <c r="S66"/>
      <c r="T66"/>
      <c r="U66"/>
    </row>
    <row r="67" spans="3:21" ht="12" customHeight="1">
      <c r="C67" s="496" t="s">
        <v>333</v>
      </c>
      <c r="D67" s="496"/>
      <c r="E67" s="586">
        <f>-'Reinsurance Recoverable 4'!H27</f>
        <v>-1030</v>
      </c>
      <c r="F67" s="496"/>
      <c r="G67" s="275">
        <f>-'Reinsurance Recoverable 4'!H22</f>
        <v>-1114</v>
      </c>
      <c r="H67" s="496"/>
      <c r="I67" s="275">
        <f>-'Reinsurance Recoverable 4'!H17</f>
        <v>-1223</v>
      </c>
      <c r="J67" s="236"/>
      <c r="K67" s="275">
        <f>-'Reinsurance Recoverable 4'!H12</f>
        <v>-1316</v>
      </c>
      <c r="L67" s="236"/>
      <c r="M67"/>
      <c r="N67"/>
      <c r="P67" s="236"/>
      <c r="Q67"/>
      <c r="R67"/>
      <c r="S67"/>
      <c r="T67"/>
      <c r="U67"/>
    </row>
    <row r="68" spans="3:21" ht="12" customHeight="1">
      <c r="C68" s="496" t="s">
        <v>344</v>
      </c>
      <c r="D68" s="496"/>
      <c r="E68" s="587">
        <f>+'Reinsurance Recoverable 4'!H28</f>
        <v>207</v>
      </c>
      <c r="F68" s="496"/>
      <c r="G68" s="569">
        <f>+'Reinsurance Recoverable 4'!H23</f>
        <v>219</v>
      </c>
      <c r="H68" s="496"/>
      <c r="I68" s="275">
        <f>+'Reinsurance Recoverable 4'!H18</f>
        <v>272</v>
      </c>
      <c r="J68" s="236"/>
      <c r="K68" s="275">
        <f>+'Reinsurance Recoverable 4'!H13</f>
        <v>255</v>
      </c>
      <c r="L68" s="236"/>
      <c r="M68"/>
      <c r="N68"/>
      <c r="P68" s="236"/>
      <c r="Q68"/>
      <c r="R68"/>
      <c r="S68"/>
      <c r="T68"/>
      <c r="U68"/>
    </row>
    <row r="69" spans="3:21" ht="12" customHeight="1">
      <c r="C69" s="496" t="s">
        <v>334</v>
      </c>
      <c r="D69" s="496"/>
      <c r="E69" s="588">
        <v>-9</v>
      </c>
      <c r="F69" s="496"/>
      <c r="G69" s="532">
        <v>-10</v>
      </c>
      <c r="H69" s="496"/>
      <c r="I69" s="532">
        <v>-10</v>
      </c>
      <c r="J69" s="532"/>
      <c r="K69" s="532">
        <v>-10</v>
      </c>
      <c r="L69" s="532"/>
      <c r="M69"/>
      <c r="N69"/>
      <c r="P69" s="236"/>
      <c r="Q69"/>
      <c r="R69"/>
      <c r="S69"/>
      <c r="T69"/>
      <c r="U69"/>
    </row>
    <row r="70" spans="3:21" ht="12" customHeight="1" thickBot="1">
      <c r="C70" s="160"/>
      <c r="D70" s="160"/>
      <c r="E70" s="589">
        <f>SUM(E66:E69)</f>
        <v>13386</v>
      </c>
      <c r="F70" s="160"/>
      <c r="G70" s="237">
        <f>SUM(G66:G69)</f>
        <v>13176</v>
      </c>
      <c r="H70" s="160"/>
      <c r="I70" s="237">
        <f>SUM(I66:I69)</f>
        <v>13413</v>
      </c>
      <c r="J70" s="160"/>
      <c r="K70" s="237">
        <f>SUM(K66:K69)</f>
        <v>13509</v>
      </c>
      <c r="L70" s="160"/>
      <c r="M70"/>
      <c r="N70"/>
      <c r="P70" s="160"/>
      <c r="Q70"/>
      <c r="R70"/>
      <c r="S70"/>
      <c r="T70"/>
      <c r="U70"/>
    </row>
    <row r="71" spans="5:21" ht="12" customHeight="1" thickTop="1">
      <c r="E71" s="590"/>
      <c r="M71"/>
      <c r="N71"/>
      <c r="Q71"/>
      <c r="R71"/>
      <c r="S71"/>
      <c r="T71"/>
      <c r="U71"/>
    </row>
    <row r="72" spans="5:21" ht="12" customHeight="1">
      <c r="E72" s="591">
        <f>+'Loss Reserve Rollforward'!D46</f>
        <v>13386</v>
      </c>
      <c r="G72" s="353">
        <f>+'Loss Reserve Rollforward'!D41</f>
        <v>13176</v>
      </c>
      <c r="I72" s="353">
        <f>+'Loss Reserve Rollforward'!D36</f>
        <v>13413</v>
      </c>
      <c r="K72" s="353">
        <f>+'Loss Reserve Rollforward'!D31</f>
        <v>13509</v>
      </c>
      <c r="M72"/>
      <c r="N72"/>
      <c r="Q72"/>
      <c r="R72"/>
      <c r="S72"/>
      <c r="T72"/>
      <c r="U72"/>
    </row>
    <row r="73" spans="5:21" ht="12" customHeight="1">
      <c r="E73" s="592">
        <f>+E70-E72</f>
        <v>0</v>
      </c>
      <c r="G73" s="456">
        <f>+G70-G72</f>
        <v>0</v>
      </c>
      <c r="I73" s="456">
        <f>+I70-I72</f>
        <v>0</v>
      </c>
      <c r="K73" s="456">
        <f>+K70-K72</f>
        <v>0</v>
      </c>
      <c r="M73"/>
      <c r="N73"/>
      <c r="Q73"/>
      <c r="R73"/>
      <c r="S73"/>
      <c r="T73"/>
      <c r="U73"/>
    </row>
    <row r="74" spans="13:21" ht="12" customHeight="1">
      <c r="M74"/>
      <c r="N74"/>
      <c r="Q74"/>
      <c r="R74"/>
      <c r="S74"/>
      <c r="T74"/>
      <c r="U74"/>
    </row>
    <row r="75" spans="11:17" ht="12" customHeight="1">
      <c r="K75"/>
      <c r="L75"/>
      <c r="M75"/>
      <c r="N75"/>
      <c r="P75"/>
      <c r="Q75"/>
    </row>
    <row r="76" spans="11:14" ht="12" customHeight="1">
      <c r="K76"/>
      <c r="L76"/>
      <c r="M76"/>
      <c r="N76"/>
    </row>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sheetData>
  <mergeCells count="4">
    <mergeCell ref="A1:L1"/>
    <mergeCell ref="A2:L2"/>
    <mergeCell ref="A3:L3"/>
    <mergeCell ref="A4:L4"/>
  </mergeCells>
  <conditionalFormatting sqref="I73 K73 E73 G73">
    <cfRule type="cellIs" priority="1" dxfId="2" operator="notEqual" stopIfTrue="1">
      <formula>0</formula>
    </cfRule>
  </conditionalFormatting>
  <printOptions/>
  <pageMargins left="0.5" right="0.5" top="0.5" bottom="0.55" header="0.75" footer="0.3"/>
  <pageSetup horizontalDpi="600" verticalDpi="600" orientation="landscape" r:id="rId2"/>
  <headerFooter alignWithMargins="0">
    <oddFooter>&amp;L&amp;A&amp;R&amp;"Arial,Regular"&amp;8Page 13</oddFooter>
  </headerFooter>
  <drawing r:id="rId1"/>
</worksheet>
</file>

<file path=xl/worksheets/sheet16.xml><?xml version="1.0" encoding="utf-8"?>
<worksheet xmlns="http://schemas.openxmlformats.org/spreadsheetml/2006/main" xmlns:r="http://schemas.openxmlformats.org/officeDocument/2006/relationships">
  <sheetPr codeName="Sheet54"/>
  <dimension ref="A1:BH50"/>
  <sheetViews>
    <sheetView workbookViewId="0" topLeftCell="A1">
      <selection activeCell="A1" sqref="A1:J1"/>
    </sheetView>
  </sheetViews>
  <sheetFormatPr defaultColWidth="9.33203125" defaultRowHeight="12.75"/>
  <cols>
    <col min="1" max="2" width="3.33203125" style="68" customWidth="1"/>
    <col min="3" max="3" width="50.16015625" style="68" customWidth="1"/>
    <col min="4" max="6" width="12.83203125" style="68" customWidth="1"/>
    <col min="7" max="7" width="10" style="68" customWidth="1"/>
    <col min="8" max="8" width="11.5" style="68" customWidth="1"/>
    <col min="9" max="10" width="12.83203125" style="68" customWidth="1"/>
    <col min="11" max="11" width="3.83203125" style="68" customWidth="1"/>
    <col min="12" max="16384" width="10.66015625" style="68" customWidth="1"/>
  </cols>
  <sheetData>
    <row r="1" spans="1:14" ht="14.25" customHeight="1">
      <c r="A1" s="601" t="s">
        <v>89</v>
      </c>
      <c r="B1" s="601"/>
      <c r="C1" s="601"/>
      <c r="D1" s="601"/>
      <c r="E1" s="601"/>
      <c r="F1" s="601"/>
      <c r="G1" s="601"/>
      <c r="H1" s="601"/>
      <c r="I1" s="601"/>
      <c r="J1" s="601"/>
      <c r="K1" s="343"/>
      <c r="L1" s="343"/>
      <c r="M1" s="343"/>
      <c r="N1" s="343"/>
    </row>
    <row r="2" spans="1:14" ht="14.25" customHeight="1">
      <c r="A2" s="632" t="s">
        <v>326</v>
      </c>
      <c r="B2" s="632"/>
      <c r="C2" s="632"/>
      <c r="D2" s="632"/>
      <c r="E2" s="632"/>
      <c r="F2" s="632"/>
      <c r="G2" s="632"/>
      <c r="H2" s="632"/>
      <c r="I2" s="632"/>
      <c r="J2" s="632"/>
      <c r="K2" s="345"/>
      <c r="L2" s="345"/>
      <c r="M2" s="345"/>
      <c r="N2" s="345"/>
    </row>
    <row r="3" spans="1:14" ht="14.25" customHeight="1">
      <c r="A3" s="631" t="s">
        <v>147</v>
      </c>
      <c r="B3" s="631"/>
      <c r="C3" s="631"/>
      <c r="D3" s="631"/>
      <c r="E3" s="631"/>
      <c r="F3" s="631"/>
      <c r="G3" s="631"/>
      <c r="H3" s="631"/>
      <c r="I3" s="631"/>
      <c r="J3" s="631"/>
      <c r="K3" s="346"/>
      <c r="L3" s="346"/>
      <c r="M3" s="346"/>
      <c r="N3" s="346"/>
    </row>
    <row r="4" spans="1:14" ht="14.25" customHeight="1">
      <c r="A4" s="631" t="s">
        <v>163</v>
      </c>
      <c r="B4" s="631"/>
      <c r="C4" s="631"/>
      <c r="D4" s="631"/>
      <c r="E4" s="631"/>
      <c r="F4" s="631"/>
      <c r="G4" s="631"/>
      <c r="H4" s="631"/>
      <c r="I4" s="631"/>
      <c r="J4" s="631"/>
      <c r="K4" s="346"/>
      <c r="L4" s="346"/>
      <c r="M4" s="346"/>
      <c r="N4" s="346"/>
    </row>
    <row r="5" spans="3:10" ht="6" customHeight="1">
      <c r="C5" s="74"/>
      <c r="D5" s="73"/>
      <c r="E5" s="73"/>
      <c r="F5" s="73"/>
      <c r="G5" s="73"/>
      <c r="H5" s="73"/>
      <c r="I5" s="280"/>
      <c r="J5" s="281"/>
    </row>
    <row r="6" spans="3:10" ht="11.25" customHeight="1">
      <c r="C6" s="501"/>
      <c r="D6" s="73"/>
      <c r="E6" s="73"/>
      <c r="F6" s="73"/>
      <c r="G6" s="73"/>
      <c r="H6" s="73"/>
      <c r="I6" s="280"/>
      <c r="J6" s="281"/>
    </row>
    <row r="7" spans="3:9" ht="13.5" customHeight="1">
      <c r="C7" s="282" t="s">
        <v>267</v>
      </c>
      <c r="D7" s="1"/>
      <c r="E7" s="1"/>
      <c r="F7" s="1"/>
      <c r="G7" s="1"/>
      <c r="H7" s="1"/>
      <c r="I7" s="1"/>
    </row>
    <row r="8" spans="2:60" ht="13.5" customHeight="1">
      <c r="B8" s="1"/>
      <c r="D8" s="636">
        <v>39263</v>
      </c>
      <c r="E8" s="637"/>
      <c r="F8" s="637"/>
      <c r="G8" s="283"/>
      <c r="H8"/>
      <c r="I8"/>
      <c r="J8"/>
      <c r="K8" s="70"/>
      <c r="L8" s="69"/>
      <c r="M8" s="69"/>
      <c r="N8" s="69"/>
      <c r="O8" s="69"/>
      <c r="P8" s="69"/>
      <c r="Q8" s="69"/>
      <c r="R8" s="69"/>
      <c r="S8" s="69"/>
      <c r="T8" s="69"/>
      <c r="U8" s="69"/>
      <c r="V8" s="69"/>
      <c r="W8" s="69"/>
      <c r="X8" s="69"/>
      <c r="Y8" s="69"/>
      <c r="Z8" s="69"/>
      <c r="AA8" s="69"/>
      <c r="AB8" s="69"/>
      <c r="AC8" s="69"/>
      <c r="AD8" s="69"/>
      <c r="AE8" s="69"/>
      <c r="AF8" s="69"/>
      <c r="AG8" s="69"/>
      <c r="AH8" s="69"/>
      <c r="AI8" s="69"/>
      <c r="AJ8" s="69"/>
      <c r="AK8" s="69"/>
      <c r="AL8" s="69"/>
      <c r="AM8" s="69"/>
      <c r="AN8" s="69"/>
      <c r="AO8" s="69"/>
      <c r="AP8" s="69"/>
      <c r="AQ8" s="69"/>
      <c r="AR8" s="69"/>
      <c r="AS8" s="69"/>
      <c r="AT8" s="69"/>
      <c r="AU8" s="69"/>
      <c r="AV8" s="69"/>
      <c r="AW8" s="69"/>
      <c r="AX8" s="69"/>
      <c r="AY8" s="69"/>
      <c r="AZ8" s="69"/>
      <c r="BA8" s="69"/>
      <c r="BB8" s="69"/>
      <c r="BC8" s="69"/>
      <c r="BD8" s="69"/>
      <c r="BE8" s="69"/>
      <c r="BF8" s="69"/>
      <c r="BG8" s="69"/>
      <c r="BH8" s="69"/>
    </row>
    <row r="9" spans="2:60" ht="11.25" customHeight="1">
      <c r="B9" s="1"/>
      <c r="C9" s="14" t="s">
        <v>268</v>
      </c>
      <c r="D9" s="393" t="s">
        <v>269</v>
      </c>
      <c r="E9" s="60" t="s">
        <v>345</v>
      </c>
      <c r="F9" s="394" t="s">
        <v>270</v>
      </c>
      <c r="G9" s="1"/>
      <c r="H9" s="256"/>
      <c r="I9" s="256"/>
      <c r="J9" s="256"/>
      <c r="K9" s="284"/>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BD9" s="69"/>
      <c r="BE9" s="69"/>
      <c r="BF9" s="69"/>
      <c r="BG9" s="69"/>
      <c r="BH9" s="69"/>
    </row>
    <row r="10" spans="3:10" s="1" customFormat="1" ht="11.25" customHeight="1">
      <c r="C10" s="77" t="s">
        <v>271</v>
      </c>
      <c r="D10" s="465">
        <v>4988</v>
      </c>
      <c r="E10" s="465">
        <v>56</v>
      </c>
      <c r="F10" s="395">
        <f aca="true" t="shared" si="0" ref="F10:F17">ROUND(E10/D10,3)</f>
        <v>0.011</v>
      </c>
      <c r="G10" s="469"/>
      <c r="H10"/>
      <c r="I10"/>
      <c r="J10"/>
    </row>
    <row r="11" spans="3:10" s="1" customFormat="1" ht="11.25" customHeight="1">
      <c r="C11" s="77" t="s">
        <v>272</v>
      </c>
      <c r="D11" s="326">
        <v>2180</v>
      </c>
      <c r="E11" s="326">
        <v>56</v>
      </c>
      <c r="F11" s="395">
        <f t="shared" si="0"/>
        <v>0.026</v>
      </c>
      <c r="G11" s="469"/>
      <c r="H11"/>
      <c r="I11"/>
      <c r="J11"/>
    </row>
    <row r="12" spans="3:10" s="1" customFormat="1" ht="11.25" customHeight="1">
      <c r="C12" s="77" t="s">
        <v>273</v>
      </c>
      <c r="D12" s="326">
        <v>528</v>
      </c>
      <c r="E12" s="326">
        <v>55</v>
      </c>
      <c r="F12" s="395">
        <f>ROUND(E12/D12,3)</f>
        <v>0.104</v>
      </c>
      <c r="G12" s="469"/>
      <c r="H12"/>
      <c r="I12"/>
      <c r="J12"/>
    </row>
    <row r="13" spans="3:10" s="1" customFormat="1" ht="11.25" customHeight="1">
      <c r="C13" s="77" t="s">
        <v>274</v>
      </c>
      <c r="D13" s="326">
        <v>578</v>
      </c>
      <c r="E13" s="326">
        <v>3</v>
      </c>
      <c r="F13" s="395">
        <f t="shared" si="0"/>
        <v>0.005</v>
      </c>
      <c r="G13" s="469"/>
      <c r="H13"/>
      <c r="I13"/>
      <c r="J13"/>
    </row>
    <row r="14" spans="3:10" s="1" customFormat="1" ht="11.25" customHeight="1">
      <c r="C14" s="77" t="s">
        <v>275</v>
      </c>
      <c r="D14" s="326">
        <v>220</v>
      </c>
      <c r="E14" s="326">
        <v>7</v>
      </c>
      <c r="F14" s="395">
        <f t="shared" si="0"/>
        <v>0.032</v>
      </c>
      <c r="G14" s="469"/>
      <c r="H14"/>
      <c r="I14"/>
      <c r="J14"/>
    </row>
    <row r="15" spans="3:10" s="1" customFormat="1" ht="11.25" customHeight="1">
      <c r="C15" s="77" t="s">
        <v>276</v>
      </c>
      <c r="D15" s="326">
        <v>1377</v>
      </c>
      <c r="E15" s="326">
        <v>1</v>
      </c>
      <c r="F15" s="395">
        <f t="shared" si="0"/>
        <v>0.001</v>
      </c>
      <c r="G15" s="469"/>
      <c r="H15"/>
      <c r="I15"/>
      <c r="J15"/>
    </row>
    <row r="16" spans="3:10" s="1" customFormat="1" ht="12" customHeight="1">
      <c r="C16" s="23" t="s">
        <v>277</v>
      </c>
      <c r="D16" s="326">
        <v>367</v>
      </c>
      <c r="E16" s="326">
        <v>249</v>
      </c>
      <c r="F16" s="395">
        <f t="shared" si="0"/>
        <v>0.678</v>
      </c>
      <c r="G16" s="469"/>
      <c r="H16"/>
      <c r="I16"/>
      <c r="J16"/>
    </row>
    <row r="17" spans="3:10" s="1" customFormat="1" ht="11.25" customHeight="1" thickBot="1">
      <c r="C17" s="80" t="s">
        <v>6</v>
      </c>
      <c r="D17" s="396">
        <f>SUM(D10:D16)</f>
        <v>10238</v>
      </c>
      <c r="E17" s="396">
        <f>SUM(E10:E16)</f>
        <v>427</v>
      </c>
      <c r="F17" s="397">
        <f t="shared" si="0"/>
        <v>0.042</v>
      </c>
      <c r="G17" s="470"/>
      <c r="H17"/>
      <c r="I17"/>
      <c r="J17"/>
    </row>
    <row r="18" spans="2:60" ht="6" customHeight="1" thickTop="1">
      <c r="B18" s="1"/>
      <c r="C18" s="80"/>
      <c r="D18" s="287"/>
      <c r="E18" s="287"/>
      <c r="F18" s="288"/>
      <c r="G18" s="1"/>
      <c r="H18" s="1"/>
      <c r="I18" s="1"/>
      <c r="J18" s="38"/>
      <c r="K18" s="289"/>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69"/>
      <c r="BA18" s="69"/>
      <c r="BB18" s="69"/>
      <c r="BC18" s="69"/>
      <c r="BD18" s="69"/>
      <c r="BE18" s="69"/>
      <c r="BF18" s="69"/>
      <c r="BG18" s="69"/>
      <c r="BH18" s="69"/>
    </row>
    <row r="19" spans="2:60" ht="11.25" customHeight="1">
      <c r="B19" s="1"/>
      <c r="C19" s="638" t="s">
        <v>454</v>
      </c>
      <c r="D19" s="639"/>
      <c r="E19" s="639"/>
      <c r="F19" s="639"/>
      <c r="G19" s="639"/>
      <c r="H19" s="640"/>
      <c r="I19" s="640"/>
      <c r="J19" s="640"/>
      <c r="K19" s="289"/>
      <c r="L19" s="69"/>
      <c r="M19" s="69"/>
      <c r="N19" s="69"/>
      <c r="O19" s="69"/>
      <c r="P19" s="69"/>
      <c r="Q19" s="69"/>
      <c r="R19" s="69"/>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69"/>
      <c r="AV19" s="69"/>
      <c r="AW19" s="69"/>
      <c r="AX19" s="69"/>
      <c r="AY19" s="69"/>
      <c r="AZ19" s="69"/>
      <c r="BA19" s="69"/>
      <c r="BB19" s="69"/>
      <c r="BC19" s="69"/>
      <c r="BD19" s="69"/>
      <c r="BE19" s="69"/>
      <c r="BF19" s="69"/>
      <c r="BG19" s="69"/>
      <c r="BH19" s="69"/>
    </row>
    <row r="20" spans="2:60" ht="12.75" customHeight="1">
      <c r="B20" s="1"/>
      <c r="C20" s="639"/>
      <c r="D20" s="639"/>
      <c r="E20" s="639"/>
      <c r="F20" s="639"/>
      <c r="G20" s="639"/>
      <c r="H20" s="640"/>
      <c r="I20" s="640"/>
      <c r="J20" s="640"/>
      <c r="K20" s="289"/>
      <c r="L20" s="69"/>
      <c r="M20" s="69"/>
      <c r="N20" s="69"/>
      <c r="O20" s="69"/>
      <c r="P20" s="69"/>
      <c r="Q20" s="69"/>
      <c r="R20" s="69"/>
      <c r="S20" s="69"/>
      <c r="T20" s="69"/>
      <c r="U20" s="69"/>
      <c r="V20" s="69"/>
      <c r="W20" s="69"/>
      <c r="X20" s="69"/>
      <c r="Y20" s="69"/>
      <c r="Z20" s="69"/>
      <c r="AA20" s="69"/>
      <c r="AB20" s="69"/>
      <c r="AC20" s="69"/>
      <c r="AD20" s="69"/>
      <c r="AE20" s="69"/>
      <c r="AF20" s="69"/>
      <c r="AG20" s="69"/>
      <c r="AH20" s="69"/>
      <c r="AI20" s="69"/>
      <c r="AJ20" s="69"/>
      <c r="AK20" s="69"/>
      <c r="AL20" s="69"/>
      <c r="AM20" s="69"/>
      <c r="AN20" s="69"/>
      <c r="AO20" s="69"/>
      <c r="AP20" s="69"/>
      <c r="AQ20" s="69"/>
      <c r="AR20" s="69"/>
      <c r="AS20" s="69"/>
      <c r="AT20" s="69"/>
      <c r="AU20" s="69"/>
      <c r="AV20" s="69"/>
      <c r="AW20" s="69"/>
      <c r="AX20" s="69"/>
      <c r="AY20" s="69"/>
      <c r="AZ20" s="69"/>
      <c r="BA20" s="69"/>
      <c r="BB20" s="69"/>
      <c r="BC20" s="69"/>
      <c r="BD20" s="69"/>
      <c r="BE20" s="69"/>
      <c r="BF20" s="69"/>
      <c r="BG20" s="69"/>
      <c r="BH20" s="69"/>
    </row>
    <row r="21" spans="2:60" ht="5.25" customHeight="1">
      <c r="B21" s="1"/>
      <c r="C21" s="1"/>
      <c r="D21" s="1"/>
      <c r="E21" s="1"/>
      <c r="F21" s="1"/>
      <c r="G21" s="1"/>
      <c r="H21" s="1"/>
      <c r="I21" s="1"/>
      <c r="J21" s="38"/>
      <c r="K21" s="289"/>
      <c r="L21" s="69"/>
      <c r="M21" s="69"/>
      <c r="N21" s="69"/>
      <c r="O21" s="69"/>
      <c r="P21" s="69"/>
      <c r="Q21" s="69"/>
      <c r="R21" s="69"/>
      <c r="S21" s="69"/>
      <c r="T21" s="69"/>
      <c r="U21" s="69"/>
      <c r="V21" s="69"/>
      <c r="W21" s="69"/>
      <c r="X21" s="69"/>
      <c r="Y21" s="69"/>
      <c r="Z21" s="69"/>
      <c r="AA21" s="69"/>
      <c r="AB21" s="69"/>
      <c r="AC21" s="69"/>
      <c r="AD21" s="69"/>
      <c r="AE21" s="69"/>
      <c r="AF21" s="69"/>
      <c r="AG21" s="69"/>
      <c r="AH21" s="69"/>
      <c r="AI21" s="69"/>
      <c r="AJ21" s="69"/>
      <c r="AK21" s="69"/>
      <c r="AL21" s="69"/>
      <c r="AM21" s="69"/>
      <c r="AN21" s="69"/>
      <c r="AO21" s="69"/>
      <c r="AP21" s="69"/>
      <c r="AQ21" s="69"/>
      <c r="AR21" s="69"/>
      <c r="AS21" s="69"/>
      <c r="AT21" s="69"/>
      <c r="AU21" s="69"/>
      <c r="AV21" s="69"/>
      <c r="AW21" s="69"/>
      <c r="AX21" s="69"/>
      <c r="AY21" s="69"/>
      <c r="AZ21" s="69"/>
      <c r="BA21" s="69"/>
      <c r="BB21" s="69"/>
      <c r="BC21" s="69"/>
      <c r="BD21" s="69"/>
      <c r="BE21" s="69"/>
      <c r="BF21" s="69"/>
      <c r="BG21" s="69"/>
      <c r="BH21" s="69"/>
    </row>
    <row r="22" spans="2:11" ht="15.75" customHeight="1">
      <c r="B22" s="1"/>
      <c r="C22" s="290" t="s">
        <v>278</v>
      </c>
      <c r="D22" s="290" t="s">
        <v>279</v>
      </c>
      <c r="E22" s="81"/>
      <c r="F22" s="81"/>
      <c r="G22" s="81"/>
      <c r="J22" s="38"/>
      <c r="K22" s="289"/>
    </row>
    <row r="23" spans="2:11" ht="11.25" customHeight="1">
      <c r="B23" s="1"/>
      <c r="C23" s="77" t="s">
        <v>455</v>
      </c>
      <c r="D23" s="77" t="s">
        <v>456</v>
      </c>
      <c r="E23" s="77"/>
      <c r="F23" s="77"/>
      <c r="G23" s="77" t="s">
        <v>457</v>
      </c>
      <c r="H23" s="77"/>
      <c r="I23" s="77"/>
      <c r="J23" s="77"/>
      <c r="K23" s="289"/>
    </row>
    <row r="24" spans="2:11" ht="11.25" customHeight="1">
      <c r="B24" s="1"/>
      <c r="C24" s="77" t="s">
        <v>458</v>
      </c>
      <c r="D24" s="77" t="s">
        <v>459</v>
      </c>
      <c r="E24" s="77"/>
      <c r="F24" s="77"/>
      <c r="G24" s="77" t="s">
        <v>460</v>
      </c>
      <c r="H24" s="77"/>
      <c r="I24" s="77"/>
      <c r="J24" s="77"/>
      <c r="K24" s="289"/>
    </row>
    <row r="25" spans="2:11" ht="11.25" customHeight="1">
      <c r="B25" s="1"/>
      <c r="C25" s="77" t="s">
        <v>461</v>
      </c>
      <c r="D25" s="77" t="s">
        <v>462</v>
      </c>
      <c r="E25" s="77"/>
      <c r="F25" s="77"/>
      <c r="G25" s="77" t="s">
        <v>463</v>
      </c>
      <c r="H25" s="77"/>
      <c r="I25" s="77"/>
      <c r="J25" s="77"/>
      <c r="K25" s="289"/>
    </row>
    <row r="26" spans="2:11" ht="11.25" customHeight="1">
      <c r="B26" s="1"/>
      <c r="C26" s="77" t="s">
        <v>464</v>
      </c>
      <c r="D26" s="77" t="s">
        <v>465</v>
      </c>
      <c r="E26" s="77"/>
      <c r="F26" s="77"/>
      <c r="G26" s="77" t="s">
        <v>466</v>
      </c>
      <c r="H26" s="77"/>
      <c r="I26" s="77"/>
      <c r="J26" s="77"/>
      <c r="K26" s="289"/>
    </row>
    <row r="27" spans="2:11" ht="11.25" customHeight="1">
      <c r="B27" s="1"/>
      <c r="C27" s="77" t="s">
        <v>467</v>
      </c>
      <c r="D27" s="77" t="s">
        <v>468</v>
      </c>
      <c r="E27" s="77"/>
      <c r="F27" s="77"/>
      <c r="G27" s="77" t="s">
        <v>469</v>
      </c>
      <c r="H27" s="77"/>
      <c r="I27" s="77"/>
      <c r="J27" s="77"/>
      <c r="K27" s="289"/>
    </row>
    <row r="28" spans="2:11" ht="11.25" customHeight="1">
      <c r="B28" s="1"/>
      <c r="C28" s="77" t="s">
        <v>470</v>
      </c>
      <c r="D28" s="77" t="s">
        <v>471</v>
      </c>
      <c r="E28" s="77"/>
      <c r="F28" s="77"/>
      <c r="G28" s="77" t="s">
        <v>472</v>
      </c>
      <c r="H28" s="77"/>
      <c r="I28" s="77"/>
      <c r="J28" s="77"/>
      <c r="K28" s="289"/>
    </row>
    <row r="29" spans="2:11" ht="11.25" customHeight="1">
      <c r="B29" s="1"/>
      <c r="C29" s="77" t="s">
        <v>473</v>
      </c>
      <c r="D29" s="77" t="s">
        <v>474</v>
      </c>
      <c r="E29" s="77"/>
      <c r="F29" s="77"/>
      <c r="G29" s="77" t="s">
        <v>475</v>
      </c>
      <c r="H29" s="77"/>
      <c r="I29" s="77"/>
      <c r="J29" s="77"/>
      <c r="K29" s="32"/>
    </row>
    <row r="30" spans="2:10" ht="11.25" customHeight="1">
      <c r="B30" s="1"/>
      <c r="C30" s="77" t="s">
        <v>476</v>
      </c>
      <c r="D30" s="77" t="s">
        <v>477</v>
      </c>
      <c r="E30" s="77"/>
      <c r="F30" s="77"/>
      <c r="G30" s="77" t="s">
        <v>478</v>
      </c>
      <c r="H30" s="77"/>
      <c r="I30" s="77"/>
      <c r="J30" s="77"/>
    </row>
    <row r="31" spans="2:10" ht="11.25" customHeight="1">
      <c r="B31" s="1"/>
      <c r="C31" s="77" t="s">
        <v>479</v>
      </c>
      <c r="D31" s="77" t="s">
        <v>480</v>
      </c>
      <c r="E31" s="77"/>
      <c r="F31" s="77"/>
      <c r="G31" s="77" t="s">
        <v>481</v>
      </c>
      <c r="H31" s="77"/>
      <c r="I31" s="77"/>
      <c r="J31" s="77"/>
    </row>
    <row r="32" spans="2:10" ht="11.25" customHeight="1">
      <c r="B32" s="1"/>
      <c r="C32" s="77" t="s">
        <v>482</v>
      </c>
      <c r="D32" s="77" t="s">
        <v>483</v>
      </c>
      <c r="E32" s="77"/>
      <c r="F32" s="77"/>
      <c r="G32" s="77" t="s">
        <v>484</v>
      </c>
      <c r="H32" s="77"/>
      <c r="I32" s="77"/>
      <c r="J32" s="77"/>
    </row>
    <row r="33" spans="2:10" ht="11.25" customHeight="1">
      <c r="B33" s="1"/>
      <c r="C33" s="549"/>
      <c r="D33" s="77" t="s">
        <v>485</v>
      </c>
      <c r="E33" s="77"/>
      <c r="F33" s="77"/>
      <c r="G33" s="77" t="s">
        <v>486</v>
      </c>
      <c r="H33" s="77"/>
      <c r="I33" s="77"/>
      <c r="J33" s="77"/>
    </row>
    <row r="34" spans="2:10" ht="11.25" customHeight="1">
      <c r="B34" s="1"/>
      <c r="C34" s="549"/>
      <c r="D34" s="77" t="s">
        <v>487</v>
      </c>
      <c r="E34" s="77"/>
      <c r="F34" s="77"/>
      <c r="G34" s="77" t="s">
        <v>488</v>
      </c>
      <c r="H34" s="77"/>
      <c r="I34" s="77"/>
      <c r="J34" s="77"/>
    </row>
    <row r="35" spans="2:10" ht="11.25" customHeight="1">
      <c r="B35" s="1"/>
      <c r="C35" s="549"/>
      <c r="D35" s="77" t="s">
        <v>489</v>
      </c>
      <c r="E35" s="77"/>
      <c r="F35" s="77"/>
      <c r="G35" s="77" t="s">
        <v>490</v>
      </c>
      <c r="H35" s="77"/>
      <c r="I35" s="77"/>
      <c r="J35" s="77"/>
    </row>
    <row r="36" spans="2:10" ht="11.25" customHeight="1">
      <c r="B36" s="1"/>
      <c r="C36" s="549"/>
      <c r="D36" s="77" t="s">
        <v>491</v>
      </c>
      <c r="E36" s="77"/>
      <c r="F36" s="77"/>
      <c r="G36" s="77" t="s">
        <v>492</v>
      </c>
      <c r="H36" s="77"/>
      <c r="I36" s="77"/>
      <c r="J36" s="77"/>
    </row>
    <row r="37" spans="2:10" ht="11.25" customHeight="1">
      <c r="B37" s="1"/>
      <c r="C37" s="549"/>
      <c r="D37" s="77" t="s">
        <v>493</v>
      </c>
      <c r="E37" s="77"/>
      <c r="F37" s="77"/>
      <c r="G37" s="77" t="s">
        <v>494</v>
      </c>
      <c r="H37" s="77"/>
      <c r="I37" s="77"/>
      <c r="J37" s="77"/>
    </row>
    <row r="38" spans="2:10" s="81" customFormat="1" ht="11.25" customHeight="1">
      <c r="B38" s="7"/>
      <c r="C38" s="77"/>
      <c r="E38" s="77"/>
      <c r="F38" s="77"/>
      <c r="G38" s="68"/>
      <c r="H38" s="77"/>
      <c r="I38" s="77"/>
      <c r="J38" s="77"/>
    </row>
    <row r="39" spans="3:9" ht="11.25">
      <c r="C39" s="291"/>
      <c r="D39" s="549"/>
      <c r="E39" s="549"/>
      <c r="F39" s="549"/>
      <c r="G39" s="81"/>
      <c r="H39" s="77"/>
      <c r="I39" s="77"/>
    </row>
    <row r="40" spans="3:9" ht="11.25">
      <c r="C40" s="291"/>
      <c r="D40" s="77"/>
      <c r="E40" s="77"/>
      <c r="H40" s="77"/>
      <c r="I40" s="77"/>
    </row>
    <row r="41" spans="3:9" ht="11.25">
      <c r="C41" s="291"/>
      <c r="D41" s="77"/>
      <c r="E41" s="77"/>
      <c r="H41" s="77"/>
      <c r="I41" s="77"/>
    </row>
    <row r="42" spans="3:9" ht="11.25">
      <c r="C42" s="291"/>
      <c r="D42" s="77"/>
      <c r="E42" s="77"/>
      <c r="F42" s="77"/>
      <c r="G42" s="77"/>
      <c r="H42" s="77"/>
      <c r="I42" s="77"/>
    </row>
    <row r="43" spans="3:10" ht="22.5" customHeight="1">
      <c r="C43" s="633" t="s">
        <v>526</v>
      </c>
      <c r="D43" s="634"/>
      <c r="E43" s="634"/>
      <c r="F43" s="634"/>
      <c r="G43" s="634"/>
      <c r="H43" s="634"/>
      <c r="I43" s="634"/>
      <c r="J43" s="634"/>
    </row>
    <row r="44" spans="3:10" ht="12.75" customHeight="1">
      <c r="C44" s="633" t="s">
        <v>369</v>
      </c>
      <c r="D44" s="635"/>
      <c r="E44" s="635"/>
      <c r="F44" s="635"/>
      <c r="G44" s="635"/>
      <c r="H44" s="635"/>
      <c r="I44" s="635"/>
      <c r="J44" s="635"/>
    </row>
    <row r="45" spans="3:10" ht="12.75" customHeight="1">
      <c r="C45" s="574"/>
      <c r="D45" s="574"/>
      <c r="E45" s="574"/>
      <c r="F45" s="574"/>
      <c r="G45" s="574"/>
      <c r="H45" s="574"/>
      <c r="I45" s="574"/>
      <c r="J45" s="574"/>
    </row>
    <row r="46" spans="3:9" ht="12.75" customHeight="1">
      <c r="C46" s="1"/>
      <c r="D46" s="1"/>
      <c r="E46" s="1"/>
      <c r="F46" s="1"/>
      <c r="G46" s="1"/>
      <c r="H46" s="1"/>
      <c r="I46" s="1"/>
    </row>
    <row r="47" spans="3:9" ht="12.75" customHeight="1">
      <c r="C47" s="1"/>
      <c r="D47" s="1"/>
      <c r="E47" s="1"/>
      <c r="F47" s="1"/>
      <c r="G47" s="1"/>
      <c r="H47" s="1"/>
      <c r="I47" s="1"/>
    </row>
    <row r="48" spans="3:9" ht="12.75" customHeight="1">
      <c r="C48" s="1"/>
      <c r="D48" s="1"/>
      <c r="E48" s="1"/>
      <c r="F48" s="1"/>
      <c r="G48" s="1"/>
      <c r="H48" s="1"/>
      <c r="I48" s="1"/>
    </row>
    <row r="49" spans="3:7" ht="12.75" customHeight="1">
      <c r="C49" s="1"/>
      <c r="D49" s="1"/>
      <c r="G49" s="1"/>
    </row>
    <row r="50" spans="4:7" ht="12.75" customHeight="1">
      <c r="D50" s="1"/>
      <c r="G50" s="1"/>
    </row>
    <row r="51" ht="12.75" customHeight="1"/>
    <row r="52" ht="12.75" customHeight="1"/>
    <row r="53" ht="12.75" customHeight="1"/>
    <row r="54" ht="12.75" customHeight="1"/>
    <row r="55" ht="12.75" customHeight="1"/>
    <row r="56" ht="12.75" customHeight="1"/>
    <row r="57" ht="12.75" customHeight="1"/>
    <row r="58" ht="12.75" customHeight="1"/>
    <row r="59" ht="12.75" customHeight="1"/>
  </sheetData>
  <mergeCells count="8">
    <mergeCell ref="C43:J43"/>
    <mergeCell ref="C44:J44"/>
    <mergeCell ref="D8:F8"/>
    <mergeCell ref="C19:J20"/>
    <mergeCell ref="A1:J1"/>
    <mergeCell ref="A2:J2"/>
    <mergeCell ref="A3:J3"/>
    <mergeCell ref="A4:J4"/>
  </mergeCells>
  <printOptions/>
  <pageMargins left="0.5" right="0.5" top="0.5" bottom="0.55" header="0.75" footer="0.3"/>
  <pageSetup horizontalDpi="600" verticalDpi="600" orientation="landscape" r:id="rId2"/>
  <headerFooter alignWithMargins="0">
    <oddFooter>&amp;L&amp;A&amp;R&amp;"Arial,Regular"&amp;8Page 14</oddFooter>
  </headerFooter>
  <drawing r:id="rId1"/>
</worksheet>
</file>

<file path=xl/worksheets/sheet17.xml><?xml version="1.0" encoding="utf-8"?>
<worksheet xmlns="http://schemas.openxmlformats.org/spreadsheetml/2006/main" xmlns:r="http://schemas.openxmlformats.org/officeDocument/2006/relationships">
  <sheetPr codeName="Sheet52"/>
  <dimension ref="A1:BH50"/>
  <sheetViews>
    <sheetView workbookViewId="0" topLeftCell="A1">
      <selection activeCell="A1" sqref="A1:I1"/>
    </sheetView>
  </sheetViews>
  <sheetFormatPr defaultColWidth="9.33203125" defaultRowHeight="12.75"/>
  <cols>
    <col min="1" max="2" width="3.33203125" style="68" customWidth="1"/>
    <col min="3" max="3" width="49.16015625" style="68" customWidth="1"/>
    <col min="4" max="6" width="12.83203125" style="68" customWidth="1"/>
    <col min="7" max="7" width="16.66015625" style="68" customWidth="1"/>
    <col min="8" max="8" width="11.5" style="68" customWidth="1"/>
    <col min="9" max="9" width="15.66015625" style="68" customWidth="1"/>
    <col min="10" max="10" width="3" style="68" customWidth="1"/>
    <col min="11" max="11" width="3.83203125" style="68" customWidth="1"/>
    <col min="12" max="16384" width="10.66015625" style="68" customWidth="1"/>
  </cols>
  <sheetData>
    <row r="1" spans="1:14" ht="14.25" customHeight="1">
      <c r="A1" s="601" t="s">
        <v>89</v>
      </c>
      <c r="B1" s="601"/>
      <c r="C1" s="601"/>
      <c r="D1" s="601"/>
      <c r="E1" s="601"/>
      <c r="F1" s="601"/>
      <c r="G1" s="601"/>
      <c r="H1" s="601"/>
      <c r="I1" s="601"/>
      <c r="J1" s="343"/>
      <c r="K1" s="343"/>
      <c r="L1" s="343"/>
      <c r="M1" s="343"/>
      <c r="N1" s="343"/>
    </row>
    <row r="2" spans="1:14" ht="14.25" customHeight="1">
      <c r="A2" s="632" t="s">
        <v>325</v>
      </c>
      <c r="B2" s="632"/>
      <c r="C2" s="632"/>
      <c r="D2" s="632"/>
      <c r="E2" s="632"/>
      <c r="F2" s="632"/>
      <c r="G2" s="632"/>
      <c r="H2" s="632"/>
      <c r="I2" s="632"/>
      <c r="J2" s="345"/>
      <c r="K2" s="345"/>
      <c r="L2" s="345"/>
      <c r="M2" s="345"/>
      <c r="N2" s="345"/>
    </row>
    <row r="3" spans="1:14" ht="14.25" customHeight="1">
      <c r="A3" s="631" t="s">
        <v>147</v>
      </c>
      <c r="B3" s="631"/>
      <c r="C3" s="631"/>
      <c r="D3" s="631"/>
      <c r="E3" s="631"/>
      <c r="F3" s="631"/>
      <c r="G3" s="631"/>
      <c r="H3" s="631"/>
      <c r="I3" s="631"/>
      <c r="J3" s="346"/>
      <c r="K3" s="346"/>
      <c r="L3" s="346"/>
      <c r="M3" s="346"/>
      <c r="N3" s="346"/>
    </row>
    <row r="4" spans="1:14" ht="14.25" customHeight="1">
      <c r="A4" s="631" t="s">
        <v>163</v>
      </c>
      <c r="B4" s="631"/>
      <c r="C4" s="631"/>
      <c r="D4" s="631"/>
      <c r="E4" s="631"/>
      <c r="F4" s="631"/>
      <c r="G4" s="631"/>
      <c r="H4" s="631"/>
      <c r="I4" s="631"/>
      <c r="J4" s="346"/>
      <c r="K4" s="346"/>
      <c r="L4" s="346"/>
      <c r="M4" s="346"/>
      <c r="N4" s="346"/>
    </row>
    <row r="5" spans="3:10" ht="6" customHeight="1">
      <c r="C5" s="74"/>
      <c r="D5" s="73"/>
      <c r="E5" s="73"/>
      <c r="F5" s="73"/>
      <c r="G5" s="73"/>
      <c r="H5" s="73"/>
      <c r="I5" s="280"/>
      <c r="J5" s="281"/>
    </row>
    <row r="6" spans="3:10" ht="11.25" customHeight="1">
      <c r="C6" s="501"/>
      <c r="D6" s="73"/>
      <c r="E6" s="73"/>
      <c r="F6" s="73"/>
      <c r="G6" s="73"/>
      <c r="H6" s="73"/>
      <c r="I6" s="280"/>
      <c r="J6" s="281"/>
    </row>
    <row r="7" spans="3:9" ht="13.5" customHeight="1">
      <c r="C7" s="282" t="s">
        <v>284</v>
      </c>
      <c r="D7" s="1"/>
      <c r="E7" s="1"/>
      <c r="F7" s="1"/>
      <c r="G7" s="1"/>
      <c r="H7" s="1"/>
      <c r="I7" s="1"/>
    </row>
    <row r="8" spans="2:60" ht="13.5" customHeight="1">
      <c r="B8" s="1"/>
      <c r="D8" s="636">
        <v>39263</v>
      </c>
      <c r="E8" s="637"/>
      <c r="F8" s="637"/>
      <c r="G8" s="283"/>
      <c r="H8"/>
      <c r="I8"/>
      <c r="J8"/>
      <c r="K8" s="70"/>
      <c r="L8" s="69"/>
      <c r="M8" s="69"/>
      <c r="N8" s="69"/>
      <c r="O8" s="69"/>
      <c r="P8" s="69"/>
      <c r="Q8" s="69"/>
      <c r="R8" s="69"/>
      <c r="S8" s="69"/>
      <c r="T8" s="69"/>
      <c r="U8" s="69"/>
      <c r="V8" s="69"/>
      <c r="W8" s="69"/>
      <c r="X8" s="69"/>
      <c r="Y8" s="69"/>
      <c r="Z8" s="69"/>
      <c r="AA8" s="69"/>
      <c r="AB8" s="69"/>
      <c r="AC8" s="69"/>
      <c r="AD8" s="69"/>
      <c r="AE8" s="69"/>
      <c r="AF8" s="69"/>
      <c r="AG8" s="69"/>
      <c r="AH8" s="69"/>
      <c r="AI8" s="69"/>
      <c r="AJ8" s="69"/>
      <c r="AK8" s="69"/>
      <c r="AL8" s="69"/>
      <c r="AM8" s="69"/>
      <c r="AN8" s="69"/>
      <c r="AO8" s="69"/>
      <c r="AP8" s="69"/>
      <c r="AQ8" s="69"/>
      <c r="AR8" s="69"/>
      <c r="AS8" s="69"/>
      <c r="AT8" s="69"/>
      <c r="AU8" s="69"/>
      <c r="AV8" s="69"/>
      <c r="AW8" s="69"/>
      <c r="AX8" s="69"/>
      <c r="AY8" s="69"/>
      <c r="AZ8" s="69"/>
      <c r="BA8" s="69"/>
      <c r="BB8" s="69"/>
      <c r="BC8" s="69"/>
      <c r="BD8" s="69"/>
      <c r="BE8" s="69"/>
      <c r="BF8" s="69"/>
      <c r="BG8" s="69"/>
      <c r="BH8" s="69"/>
    </row>
    <row r="9" spans="2:60" ht="11.25" customHeight="1">
      <c r="B9" s="1"/>
      <c r="C9" s="14" t="s">
        <v>268</v>
      </c>
      <c r="D9" s="393" t="s">
        <v>269</v>
      </c>
      <c r="E9" s="60" t="s">
        <v>345</v>
      </c>
      <c r="F9" s="394" t="s">
        <v>270</v>
      </c>
      <c r="G9" s="1"/>
      <c r="H9"/>
      <c r="I9"/>
      <c r="J9"/>
      <c r="K9" s="284"/>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BD9" s="69"/>
      <c r="BE9" s="69"/>
      <c r="BF9" s="69"/>
      <c r="BG9" s="69"/>
      <c r="BH9" s="69"/>
    </row>
    <row r="10" spans="3:10" s="1" customFormat="1" ht="11.25" customHeight="1">
      <c r="C10" s="77" t="s">
        <v>271</v>
      </c>
      <c r="D10" s="465">
        <v>7698</v>
      </c>
      <c r="E10" s="465">
        <v>84</v>
      </c>
      <c r="F10" s="395">
        <f aca="true" t="shared" si="0" ref="F10:F17">ROUND(E10/D10,3)</f>
        <v>0.011</v>
      </c>
      <c r="G10" s="285"/>
      <c r="H10"/>
      <c r="I10"/>
      <c r="J10"/>
    </row>
    <row r="11" spans="3:10" s="1" customFormat="1" ht="11.25" customHeight="1">
      <c r="C11" s="77" t="s">
        <v>272</v>
      </c>
      <c r="D11" s="326">
        <v>3360</v>
      </c>
      <c r="E11" s="326">
        <v>150</v>
      </c>
      <c r="F11" s="395">
        <f t="shared" si="0"/>
        <v>0.045</v>
      </c>
      <c r="G11" s="286"/>
      <c r="H11"/>
      <c r="I11"/>
      <c r="J11"/>
    </row>
    <row r="12" spans="3:10" s="1" customFormat="1" ht="11.25" customHeight="1">
      <c r="C12" s="77" t="s">
        <v>273</v>
      </c>
      <c r="D12" s="326">
        <v>656</v>
      </c>
      <c r="E12" s="326">
        <v>85</v>
      </c>
      <c r="F12" s="395">
        <f t="shared" si="0"/>
        <v>0.13</v>
      </c>
      <c r="G12" s="286"/>
      <c r="H12"/>
      <c r="I12"/>
      <c r="J12"/>
    </row>
    <row r="13" spans="3:10" s="1" customFormat="1" ht="11.25" customHeight="1">
      <c r="C13" s="77" t="s">
        <v>274</v>
      </c>
      <c r="D13" s="326">
        <v>585</v>
      </c>
      <c r="E13" s="326">
        <v>3</v>
      </c>
      <c r="F13" s="395">
        <f t="shared" si="0"/>
        <v>0.005</v>
      </c>
      <c r="G13" s="286"/>
      <c r="H13"/>
      <c r="I13"/>
      <c r="J13"/>
    </row>
    <row r="14" spans="3:10" s="1" customFormat="1" ht="11.25" customHeight="1">
      <c r="C14" s="77" t="s">
        <v>275</v>
      </c>
      <c r="D14" s="326">
        <v>522</v>
      </c>
      <c r="E14" s="326">
        <v>16</v>
      </c>
      <c r="F14" s="395">
        <f t="shared" si="0"/>
        <v>0.031</v>
      </c>
      <c r="G14" s="286"/>
      <c r="H14"/>
      <c r="I14"/>
      <c r="J14"/>
    </row>
    <row r="15" spans="3:10" s="1" customFormat="1" ht="11.25" customHeight="1">
      <c r="C15" s="77" t="s">
        <v>276</v>
      </c>
      <c r="D15" s="326">
        <v>1483</v>
      </c>
      <c r="E15" s="326">
        <v>5</v>
      </c>
      <c r="F15" s="395">
        <f>ROUND(E15/D15,3)</f>
        <v>0.003</v>
      </c>
      <c r="G15" s="286"/>
      <c r="H15"/>
      <c r="I15"/>
      <c r="J15"/>
    </row>
    <row r="16" spans="3:10" s="1" customFormat="1" ht="12" customHeight="1">
      <c r="C16" s="23" t="s">
        <v>277</v>
      </c>
      <c r="D16" s="326">
        <v>426</v>
      </c>
      <c r="E16" s="326">
        <v>306</v>
      </c>
      <c r="F16" s="395">
        <f t="shared" si="0"/>
        <v>0.718</v>
      </c>
      <c r="G16" s="286"/>
      <c r="H16"/>
      <c r="I16"/>
      <c r="J16"/>
    </row>
    <row r="17" spans="3:10" s="1" customFormat="1" ht="11.25" customHeight="1" thickBot="1">
      <c r="C17" s="80" t="s">
        <v>6</v>
      </c>
      <c r="D17" s="396">
        <f>SUM(D10:D16)</f>
        <v>14730</v>
      </c>
      <c r="E17" s="396">
        <f>SUM(E10:E16)</f>
        <v>649</v>
      </c>
      <c r="F17" s="397">
        <f t="shared" si="0"/>
        <v>0.044</v>
      </c>
      <c r="H17"/>
      <c r="I17"/>
      <c r="J17"/>
    </row>
    <row r="18" spans="2:60" ht="6" customHeight="1" thickTop="1">
      <c r="B18" s="1"/>
      <c r="C18" s="80"/>
      <c r="D18" s="287"/>
      <c r="E18" s="287"/>
      <c r="F18" s="288"/>
      <c r="G18" s="1"/>
      <c r="H18" s="1"/>
      <c r="I18" s="1"/>
      <c r="J18" s="38"/>
      <c r="K18" s="289"/>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69"/>
      <c r="BA18" s="69"/>
      <c r="BB18" s="69"/>
      <c r="BC18" s="69"/>
      <c r="BD18" s="69"/>
      <c r="BE18" s="69"/>
      <c r="BF18" s="69"/>
      <c r="BG18" s="69"/>
      <c r="BH18" s="69"/>
    </row>
    <row r="19" spans="2:60" ht="11.25" customHeight="1">
      <c r="B19" s="1"/>
      <c r="C19" s="639" t="s">
        <v>495</v>
      </c>
      <c r="D19" s="639"/>
      <c r="E19" s="639"/>
      <c r="F19" s="639"/>
      <c r="G19" s="639"/>
      <c r="H19" s="639"/>
      <c r="I19" s="639"/>
      <c r="J19" s="639"/>
      <c r="K19" s="289"/>
      <c r="L19" s="69"/>
      <c r="M19" s="69"/>
      <c r="N19" s="69"/>
      <c r="O19" s="69"/>
      <c r="P19" s="69"/>
      <c r="Q19" s="69"/>
      <c r="R19" s="69"/>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69"/>
      <c r="AV19" s="69"/>
      <c r="AW19" s="69"/>
      <c r="AX19" s="69"/>
      <c r="AY19" s="69"/>
      <c r="AZ19" s="69"/>
      <c r="BA19" s="69"/>
      <c r="BB19" s="69"/>
      <c r="BC19" s="69"/>
      <c r="BD19" s="69"/>
      <c r="BE19" s="69"/>
      <c r="BF19" s="69"/>
      <c r="BG19" s="69"/>
      <c r="BH19" s="69"/>
    </row>
    <row r="20" spans="2:60" ht="12.75" customHeight="1">
      <c r="B20" s="1"/>
      <c r="C20" s="639"/>
      <c r="D20" s="639"/>
      <c r="E20" s="639"/>
      <c r="F20" s="639"/>
      <c r="G20" s="639"/>
      <c r="H20" s="639"/>
      <c r="I20" s="639"/>
      <c r="J20" s="639"/>
      <c r="K20" s="289"/>
      <c r="L20" s="69"/>
      <c r="M20" s="69"/>
      <c r="N20" s="69"/>
      <c r="O20" s="69"/>
      <c r="P20" s="69"/>
      <c r="Q20" s="69"/>
      <c r="R20" s="69"/>
      <c r="S20" s="69"/>
      <c r="T20" s="69"/>
      <c r="U20" s="69"/>
      <c r="V20" s="69"/>
      <c r="W20" s="69"/>
      <c r="X20" s="69"/>
      <c r="Y20" s="69"/>
      <c r="Z20" s="69"/>
      <c r="AA20" s="69"/>
      <c r="AB20" s="69"/>
      <c r="AC20" s="69"/>
      <c r="AD20" s="69"/>
      <c r="AE20" s="69"/>
      <c r="AF20" s="69"/>
      <c r="AG20" s="69"/>
      <c r="AH20" s="69"/>
      <c r="AI20" s="69"/>
      <c r="AJ20" s="69"/>
      <c r="AK20" s="69"/>
      <c r="AL20" s="69"/>
      <c r="AM20" s="69"/>
      <c r="AN20" s="69"/>
      <c r="AO20" s="69"/>
      <c r="AP20" s="69"/>
      <c r="AQ20" s="69"/>
      <c r="AR20" s="69"/>
      <c r="AS20" s="69"/>
      <c r="AT20" s="69"/>
      <c r="AU20" s="69"/>
      <c r="AV20" s="69"/>
      <c r="AW20" s="69"/>
      <c r="AX20" s="69"/>
      <c r="AY20" s="69"/>
      <c r="AZ20" s="69"/>
      <c r="BA20" s="69"/>
      <c r="BB20" s="69"/>
      <c r="BC20" s="69"/>
      <c r="BD20" s="69"/>
      <c r="BE20" s="69"/>
      <c r="BF20" s="69"/>
      <c r="BG20" s="69"/>
      <c r="BH20" s="69"/>
    </row>
    <row r="21" spans="2:60" ht="5.25" customHeight="1">
      <c r="B21" s="1"/>
      <c r="C21" s="1"/>
      <c r="D21" s="1"/>
      <c r="E21" s="1"/>
      <c r="F21" s="1"/>
      <c r="G21" s="1"/>
      <c r="H21" s="1"/>
      <c r="I21" s="1"/>
      <c r="J21" s="38"/>
      <c r="K21" s="289"/>
      <c r="L21" s="69"/>
      <c r="M21" s="69"/>
      <c r="N21" s="69"/>
      <c r="O21" s="69"/>
      <c r="P21" s="69"/>
      <c r="Q21" s="69"/>
      <c r="R21" s="69"/>
      <c r="S21" s="69"/>
      <c r="T21" s="69"/>
      <c r="U21" s="69"/>
      <c r="V21" s="69"/>
      <c r="W21" s="69"/>
      <c r="X21" s="69"/>
      <c r="Y21" s="69"/>
      <c r="Z21" s="69"/>
      <c r="AA21" s="69"/>
      <c r="AB21" s="69"/>
      <c r="AC21" s="69"/>
      <c r="AD21" s="69"/>
      <c r="AE21" s="69"/>
      <c r="AF21" s="69"/>
      <c r="AG21" s="69"/>
      <c r="AH21" s="69"/>
      <c r="AI21" s="69"/>
      <c r="AJ21" s="69"/>
      <c r="AK21" s="69"/>
      <c r="AL21" s="69"/>
      <c r="AM21" s="69"/>
      <c r="AN21" s="69"/>
      <c r="AO21" s="69"/>
      <c r="AP21" s="69"/>
      <c r="AQ21" s="69"/>
      <c r="AR21" s="69"/>
      <c r="AS21" s="69"/>
      <c r="AT21" s="69"/>
      <c r="AU21" s="69"/>
      <c r="AV21" s="69"/>
      <c r="AW21" s="69"/>
      <c r="AX21" s="69"/>
      <c r="AY21" s="69"/>
      <c r="AZ21" s="69"/>
      <c r="BA21" s="69"/>
      <c r="BB21" s="69"/>
      <c r="BC21" s="69"/>
      <c r="BD21" s="69"/>
      <c r="BE21" s="69"/>
      <c r="BF21" s="69"/>
      <c r="BG21" s="69"/>
      <c r="BH21" s="69"/>
    </row>
    <row r="22" spans="2:11" ht="15.75" customHeight="1">
      <c r="B22" s="1"/>
      <c r="C22" s="290" t="s">
        <v>278</v>
      </c>
      <c r="D22" s="290" t="s">
        <v>279</v>
      </c>
      <c r="E22" s="81"/>
      <c r="F22" s="81"/>
      <c r="G22" s="81"/>
      <c r="J22" s="38"/>
      <c r="K22" s="289"/>
    </row>
    <row r="23" spans="2:11" ht="11.25" customHeight="1">
      <c r="B23" s="1"/>
      <c r="C23" s="77" t="s">
        <v>458</v>
      </c>
      <c r="D23" s="77" t="s">
        <v>455</v>
      </c>
      <c r="E23" s="77"/>
      <c r="F23" s="77" t="s">
        <v>483</v>
      </c>
      <c r="H23" s="77" t="s">
        <v>466</v>
      </c>
      <c r="J23" s="77"/>
      <c r="K23" s="77"/>
    </row>
    <row r="24" spans="2:11" ht="11.25" customHeight="1">
      <c r="B24" s="1"/>
      <c r="C24" s="77" t="s">
        <v>461</v>
      </c>
      <c r="D24" s="77" t="s">
        <v>456</v>
      </c>
      <c r="E24" s="77"/>
      <c r="F24" s="77" t="s">
        <v>485</v>
      </c>
      <c r="H24" s="77" t="s">
        <v>469</v>
      </c>
      <c r="J24" s="77"/>
      <c r="K24" s="77"/>
    </row>
    <row r="25" spans="2:11" ht="11.25" customHeight="1">
      <c r="B25" s="1"/>
      <c r="C25" s="77" t="s">
        <v>464</v>
      </c>
      <c r="D25" s="77" t="s">
        <v>459</v>
      </c>
      <c r="E25" s="77"/>
      <c r="F25" s="77" t="s">
        <v>503</v>
      </c>
      <c r="H25" s="77" t="s">
        <v>472</v>
      </c>
      <c r="J25" s="77"/>
      <c r="K25" s="77"/>
    </row>
    <row r="26" spans="2:11" ht="11.25" customHeight="1">
      <c r="B26" s="1"/>
      <c r="C26" s="77" t="s">
        <v>497</v>
      </c>
      <c r="D26" s="77" t="s">
        <v>462</v>
      </c>
      <c r="E26" s="77"/>
      <c r="F26" s="77" t="s">
        <v>505</v>
      </c>
      <c r="H26" s="77" t="s">
        <v>475</v>
      </c>
      <c r="J26" s="77"/>
      <c r="K26" s="77"/>
    </row>
    <row r="27" spans="2:11" ht="11.25" customHeight="1">
      <c r="B27" s="1"/>
      <c r="C27" s="77" t="s">
        <v>487</v>
      </c>
      <c r="D27" s="77" t="s">
        <v>498</v>
      </c>
      <c r="E27" s="77"/>
      <c r="F27" s="77" t="s">
        <v>467</v>
      </c>
      <c r="H27" s="77" t="s">
        <v>478</v>
      </c>
      <c r="J27" s="77"/>
      <c r="K27" s="77"/>
    </row>
    <row r="28" spans="2:11" ht="11.25" customHeight="1">
      <c r="B28" s="1"/>
      <c r="C28" s="77" t="s">
        <v>470</v>
      </c>
      <c r="D28" s="77" t="s">
        <v>465</v>
      </c>
      <c r="E28" s="77"/>
      <c r="F28" s="77" t="s">
        <v>506</v>
      </c>
      <c r="H28" s="77" t="s">
        <v>481</v>
      </c>
      <c r="J28" s="77"/>
      <c r="K28" s="77"/>
    </row>
    <row r="29" spans="2:11" ht="11.25" customHeight="1">
      <c r="B29" s="1"/>
      <c r="C29" s="77" t="s">
        <v>473</v>
      </c>
      <c r="D29" s="77" t="s">
        <v>468</v>
      </c>
      <c r="E29" s="77"/>
      <c r="F29" s="77" t="s">
        <v>507</v>
      </c>
      <c r="H29" s="77" t="s">
        <v>484</v>
      </c>
      <c r="J29" s="77"/>
      <c r="K29" s="77"/>
    </row>
    <row r="30" spans="2:11" ht="11.25" customHeight="1">
      <c r="B30" s="1"/>
      <c r="C30" s="77" t="s">
        <v>476</v>
      </c>
      <c r="D30" s="77" t="s">
        <v>508</v>
      </c>
      <c r="E30" s="77"/>
      <c r="F30" s="77" t="s">
        <v>496</v>
      </c>
      <c r="H30" s="77" t="s">
        <v>486</v>
      </c>
      <c r="J30" s="77"/>
      <c r="K30" s="77"/>
    </row>
    <row r="31" spans="2:11" ht="11.25" customHeight="1">
      <c r="B31" s="1"/>
      <c r="C31" s="77" t="s">
        <v>479</v>
      </c>
      <c r="D31" s="77" t="s">
        <v>471</v>
      </c>
      <c r="E31" s="77"/>
      <c r="F31" s="77" t="s">
        <v>489</v>
      </c>
      <c r="H31" s="77" t="s">
        <v>488</v>
      </c>
      <c r="J31" s="77"/>
      <c r="K31" s="77"/>
    </row>
    <row r="32" spans="2:11" ht="11.25" customHeight="1">
      <c r="B32" s="1"/>
      <c r="C32" s="77" t="s">
        <v>482</v>
      </c>
      <c r="D32" s="77" t="s">
        <v>474</v>
      </c>
      <c r="E32" s="77"/>
      <c r="F32" s="77" t="s">
        <v>491</v>
      </c>
      <c r="H32" s="77" t="s">
        <v>504</v>
      </c>
      <c r="J32" s="77"/>
      <c r="K32" s="77"/>
    </row>
    <row r="33" spans="2:11" ht="11.25" customHeight="1">
      <c r="B33" s="1"/>
      <c r="C33" s="77"/>
      <c r="D33" s="77" t="s">
        <v>500</v>
      </c>
      <c r="E33" s="77"/>
      <c r="F33" s="77" t="s">
        <v>493</v>
      </c>
      <c r="H33" s="77" t="s">
        <v>490</v>
      </c>
      <c r="J33" s="77"/>
      <c r="K33" s="77"/>
    </row>
    <row r="34" spans="2:11" ht="11.25" customHeight="1">
      <c r="B34" s="1"/>
      <c r="C34" s="77"/>
      <c r="D34" s="77" t="s">
        <v>477</v>
      </c>
      <c r="E34" s="77"/>
      <c r="F34" s="77" t="s">
        <v>457</v>
      </c>
      <c r="H34" s="77" t="s">
        <v>492</v>
      </c>
      <c r="J34" s="77"/>
      <c r="K34" s="77"/>
    </row>
    <row r="35" spans="2:11" ht="11.25" customHeight="1">
      <c r="B35" s="1"/>
      <c r="C35" s="77"/>
      <c r="D35" s="77" t="s">
        <v>501</v>
      </c>
      <c r="E35" s="77"/>
      <c r="F35" s="77" t="s">
        <v>499</v>
      </c>
      <c r="H35" s="77" t="s">
        <v>494</v>
      </c>
      <c r="J35" s="77"/>
      <c r="K35" s="77"/>
    </row>
    <row r="36" spans="2:11" ht="11.25" customHeight="1">
      <c r="B36" s="1"/>
      <c r="C36" s="77"/>
      <c r="D36" s="77" t="s">
        <v>480</v>
      </c>
      <c r="E36" s="77"/>
      <c r="F36" s="77" t="s">
        <v>460</v>
      </c>
      <c r="J36" s="77"/>
      <c r="K36" s="77"/>
    </row>
    <row r="37" spans="2:11" ht="11.25" customHeight="1">
      <c r="B37" s="1"/>
      <c r="C37" s="77"/>
      <c r="D37" s="77" t="s">
        <v>502</v>
      </c>
      <c r="E37" s="77"/>
      <c r="F37" s="77" t="s">
        <v>463</v>
      </c>
      <c r="J37" s="77"/>
      <c r="K37" s="77"/>
    </row>
    <row r="38" spans="2:11" ht="11.25" customHeight="1">
      <c r="B38" s="1"/>
      <c r="C38" s="77"/>
      <c r="E38" s="77"/>
      <c r="F38" s="77"/>
      <c r="I38" s="77"/>
      <c r="J38" s="77"/>
      <c r="K38" s="77"/>
    </row>
    <row r="39" spans="2:11" ht="11.25" customHeight="1">
      <c r="B39" s="1"/>
      <c r="C39" s="77"/>
      <c r="E39" s="77"/>
      <c r="F39" s="77"/>
      <c r="I39" s="77"/>
      <c r="J39" s="77"/>
      <c r="K39" s="77"/>
    </row>
    <row r="40" spans="2:11" ht="11.25" customHeight="1">
      <c r="B40" s="1"/>
      <c r="C40" s="77"/>
      <c r="E40" s="77"/>
      <c r="F40" s="77"/>
      <c r="I40" s="77"/>
      <c r="J40" s="77"/>
      <c r="K40" s="77"/>
    </row>
    <row r="41" spans="2:11" ht="11.25" customHeight="1">
      <c r="B41" s="1"/>
      <c r="C41" s="77"/>
      <c r="E41" s="77"/>
      <c r="F41" s="77"/>
      <c r="I41" s="77"/>
      <c r="J41" s="77"/>
      <c r="K41" s="77"/>
    </row>
    <row r="42" spans="2:11" ht="11.25" customHeight="1">
      <c r="B42" s="1"/>
      <c r="C42" s="77"/>
      <c r="E42" s="77"/>
      <c r="F42" s="77"/>
      <c r="I42" s="77"/>
      <c r="J42" s="77"/>
      <c r="K42" s="77"/>
    </row>
    <row r="43" spans="3:10" ht="20.25" customHeight="1">
      <c r="C43" s="633" t="s">
        <v>526</v>
      </c>
      <c r="D43" s="634"/>
      <c r="E43" s="634"/>
      <c r="F43" s="634"/>
      <c r="G43" s="634"/>
      <c r="H43" s="634"/>
      <c r="I43" s="634"/>
      <c r="J43" s="634"/>
    </row>
    <row r="44" spans="3:10" ht="12.75" customHeight="1">
      <c r="C44" s="641" t="s">
        <v>314</v>
      </c>
      <c r="D44" s="642"/>
      <c r="E44" s="642"/>
      <c r="F44" s="642"/>
      <c r="G44" s="642"/>
      <c r="H44" s="642"/>
      <c r="I44" s="642"/>
      <c r="J44" s="575"/>
    </row>
    <row r="45" spans="3:10" ht="12.75" customHeight="1">
      <c r="C45" s="574"/>
      <c r="D45" s="574"/>
      <c r="E45" s="574"/>
      <c r="F45" s="575"/>
      <c r="G45" s="574"/>
      <c r="H45" s="574"/>
      <c r="I45" s="574"/>
      <c r="J45" s="574"/>
    </row>
    <row r="46" spans="3:9" ht="12.75" customHeight="1">
      <c r="C46" s="1"/>
      <c r="D46" s="1"/>
      <c r="E46" s="1"/>
      <c r="F46" s="1"/>
      <c r="G46" s="1"/>
      <c r="H46" s="1"/>
      <c r="I46" s="1"/>
    </row>
    <row r="47" spans="3:9" ht="12.75" customHeight="1">
      <c r="C47" s="1"/>
      <c r="D47" s="1"/>
      <c r="E47" s="1"/>
      <c r="F47" s="1"/>
      <c r="G47" s="1"/>
      <c r="H47" s="1"/>
      <c r="I47" s="1"/>
    </row>
    <row r="48" spans="3:9" ht="12.75" customHeight="1">
      <c r="C48" s="1"/>
      <c r="D48" s="1"/>
      <c r="E48" s="1"/>
      <c r="F48" s="1"/>
      <c r="G48" s="1"/>
      <c r="H48" s="1"/>
      <c r="I48" s="1"/>
    </row>
    <row r="49" spans="3:7" ht="12.75" customHeight="1">
      <c r="C49" s="1"/>
      <c r="D49" s="1"/>
      <c r="G49" s="1"/>
    </row>
    <row r="50" spans="4:7" ht="12.75" customHeight="1">
      <c r="D50" s="1"/>
      <c r="G50" s="1"/>
    </row>
    <row r="51" ht="12.75" customHeight="1"/>
    <row r="52" ht="12.75" customHeight="1"/>
    <row r="53" ht="12.75" customHeight="1"/>
    <row r="54" ht="12.75" customHeight="1"/>
    <row r="55" ht="12.75" customHeight="1"/>
    <row r="56" ht="12.75" customHeight="1"/>
    <row r="57" ht="12.75" customHeight="1"/>
    <row r="58" ht="12.75" customHeight="1"/>
    <row r="59" ht="12.75" customHeight="1"/>
  </sheetData>
  <mergeCells count="8">
    <mergeCell ref="D8:F8"/>
    <mergeCell ref="C19:J20"/>
    <mergeCell ref="C44:I44"/>
    <mergeCell ref="C43:J43"/>
    <mergeCell ref="A1:I1"/>
    <mergeCell ref="A2:I2"/>
    <mergeCell ref="A3:I3"/>
    <mergeCell ref="A4:I4"/>
  </mergeCells>
  <printOptions/>
  <pageMargins left="0.5" right="0.5" top="0.5" bottom="0.55" header="0.75" footer="0.3"/>
  <pageSetup horizontalDpi="600" verticalDpi="600" orientation="landscape" r:id="rId2"/>
  <headerFooter alignWithMargins="0">
    <oddFooter>&amp;L&amp;A&amp;R&amp;"Arial,Regular"&amp;8Page 15</oddFooter>
  </headerFooter>
  <drawing r:id="rId1"/>
</worksheet>
</file>

<file path=xl/worksheets/sheet18.xml><?xml version="1.0" encoding="utf-8"?>
<worksheet xmlns="http://schemas.openxmlformats.org/spreadsheetml/2006/main" xmlns:r="http://schemas.openxmlformats.org/officeDocument/2006/relationships">
  <sheetPr codeName="Sheet53"/>
  <dimension ref="A1:BM40"/>
  <sheetViews>
    <sheetView workbookViewId="0" topLeftCell="A1">
      <selection activeCell="A1" sqref="A1:N1"/>
    </sheetView>
  </sheetViews>
  <sheetFormatPr defaultColWidth="9.33203125" defaultRowHeight="12.75"/>
  <cols>
    <col min="1" max="2" width="3.33203125" style="68" customWidth="1"/>
    <col min="3" max="3" width="44.33203125" style="68" customWidth="1"/>
    <col min="4" max="4" width="12.33203125" style="68" customWidth="1"/>
    <col min="5" max="5" width="5.33203125" style="68" customWidth="1"/>
    <col min="6" max="6" width="12.33203125" style="68" customWidth="1"/>
    <col min="7" max="7" width="5.33203125" style="68" customWidth="1"/>
    <col min="8" max="8" width="12.33203125" style="68" customWidth="1"/>
    <col min="9" max="10" width="8.66015625" style="68" customWidth="1"/>
    <col min="11" max="11" width="2.83203125" style="68" customWidth="1"/>
    <col min="12" max="16" width="11.33203125" style="68" customWidth="1"/>
    <col min="17" max="17" width="4" style="68" customWidth="1"/>
    <col min="18" max="19" width="11.33203125" style="68" customWidth="1"/>
    <col min="20" max="16384" width="10.66015625" style="68" customWidth="1"/>
  </cols>
  <sheetData>
    <row r="1" spans="1:19" ht="14.25" customHeight="1">
      <c r="A1" s="601" t="s">
        <v>89</v>
      </c>
      <c r="B1" s="601"/>
      <c r="C1" s="601"/>
      <c r="D1" s="601"/>
      <c r="E1" s="601"/>
      <c r="F1" s="601"/>
      <c r="G1" s="601"/>
      <c r="H1" s="601"/>
      <c r="I1" s="601"/>
      <c r="J1" s="601"/>
      <c r="K1" s="601"/>
      <c r="L1" s="601"/>
      <c r="M1" s="601"/>
      <c r="N1" s="601"/>
      <c r="O1" s="343"/>
      <c r="P1" s="343"/>
      <c r="Q1" s="277"/>
      <c r="R1" s="277"/>
      <c r="S1" s="277"/>
    </row>
    <row r="2" spans="1:19" ht="11.25" customHeight="1">
      <c r="A2" s="632" t="s">
        <v>327</v>
      </c>
      <c r="B2" s="632"/>
      <c r="C2" s="632"/>
      <c r="D2" s="632"/>
      <c r="E2" s="632"/>
      <c r="F2" s="632"/>
      <c r="G2" s="632"/>
      <c r="H2" s="632"/>
      <c r="I2" s="632"/>
      <c r="J2" s="632"/>
      <c r="K2" s="632"/>
      <c r="L2" s="632"/>
      <c r="M2" s="632"/>
      <c r="N2" s="632"/>
      <c r="O2" s="345"/>
      <c r="P2" s="345"/>
      <c r="Q2" s="279"/>
      <c r="R2" s="279"/>
      <c r="S2" s="279"/>
    </row>
    <row r="3" spans="1:19" ht="11.25" customHeight="1">
      <c r="A3" s="631" t="s">
        <v>147</v>
      </c>
      <c r="B3" s="631"/>
      <c r="C3" s="631"/>
      <c r="D3" s="631"/>
      <c r="E3" s="631"/>
      <c r="F3" s="631"/>
      <c r="G3" s="631"/>
      <c r="H3" s="631"/>
      <c r="I3" s="631"/>
      <c r="J3" s="631"/>
      <c r="K3" s="631"/>
      <c r="L3" s="631"/>
      <c r="M3" s="631"/>
      <c r="N3" s="631"/>
      <c r="O3" s="346"/>
      <c r="P3" s="346"/>
      <c r="Q3" s="278"/>
      <c r="R3" s="278"/>
      <c r="S3" s="278"/>
    </row>
    <row r="4" spans="1:19" ht="11.25" customHeight="1">
      <c r="A4" s="631" t="s">
        <v>163</v>
      </c>
      <c r="B4" s="631"/>
      <c r="C4" s="631"/>
      <c r="D4" s="631"/>
      <c r="E4" s="631"/>
      <c r="F4" s="631"/>
      <c r="G4" s="631"/>
      <c r="H4" s="631"/>
      <c r="I4" s="631"/>
      <c r="J4" s="631"/>
      <c r="K4" s="631"/>
      <c r="L4" s="631"/>
      <c r="M4" s="631"/>
      <c r="N4" s="631"/>
      <c r="O4" s="346"/>
      <c r="P4" s="346"/>
      <c r="Q4" s="278"/>
      <c r="R4" s="278"/>
      <c r="S4" s="278"/>
    </row>
    <row r="5" spans="3:65" ht="6" customHeight="1">
      <c r="C5" s="292"/>
      <c r="D5" s="292"/>
      <c r="E5" s="292"/>
      <c r="F5" s="292"/>
      <c r="G5" s="292"/>
      <c r="H5" s="292"/>
      <c r="I5" s="292"/>
      <c r="J5" s="292"/>
      <c r="K5" s="292"/>
      <c r="L5" s="293"/>
      <c r="M5" s="293"/>
      <c r="N5" s="70"/>
      <c r="O5" s="70"/>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BD5" s="69"/>
      <c r="BE5" s="69"/>
      <c r="BF5" s="69"/>
      <c r="BG5" s="69"/>
      <c r="BH5" s="69"/>
      <c r="BI5" s="69"/>
      <c r="BJ5" s="69"/>
      <c r="BK5" s="69"/>
      <c r="BL5" s="69"/>
      <c r="BM5" s="69"/>
    </row>
    <row r="6" spans="3:65" ht="11.25" customHeight="1">
      <c r="C6" s="501"/>
      <c r="D6" s="292"/>
      <c r="E6" s="292"/>
      <c r="F6" s="292"/>
      <c r="G6" s="292"/>
      <c r="H6" s="292"/>
      <c r="I6" s="292"/>
      <c r="J6" s="292"/>
      <c r="K6" s="292"/>
      <c r="L6" s="293"/>
      <c r="M6" s="293"/>
      <c r="N6" s="70"/>
      <c r="O6" s="70"/>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69"/>
      <c r="BB6" s="69"/>
      <c r="BC6" s="69"/>
      <c r="BD6" s="69"/>
      <c r="BE6" s="69"/>
      <c r="BF6" s="69"/>
      <c r="BG6" s="69"/>
      <c r="BH6" s="69"/>
      <c r="BI6" s="69"/>
      <c r="BJ6" s="69"/>
      <c r="BK6" s="69"/>
      <c r="BL6" s="69"/>
      <c r="BM6" s="69"/>
    </row>
    <row r="7" spans="3:62" ht="12.75" customHeight="1">
      <c r="C7" s="294" t="s">
        <v>280</v>
      </c>
      <c r="D7" s="294"/>
      <c r="E7" s="294"/>
      <c r="F7" s="294"/>
      <c r="G7" s="294"/>
      <c r="H7" s="294"/>
      <c r="I7" s="294"/>
      <c r="J7" s="294"/>
      <c r="K7" s="294"/>
      <c r="L7" s="42"/>
      <c r="M7" s="42"/>
      <c r="N7" s="296"/>
      <c r="O7" s="296"/>
      <c r="P7" s="296"/>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BD7" s="69"/>
      <c r="BE7" s="69"/>
      <c r="BF7" s="69"/>
      <c r="BG7" s="69"/>
      <c r="BH7" s="69"/>
      <c r="BI7" s="69"/>
      <c r="BJ7" s="69"/>
    </row>
    <row r="8" spans="3:62" ht="4.5" customHeight="1">
      <c r="C8" s="297"/>
      <c r="D8" s="297"/>
      <c r="E8" s="297"/>
      <c r="F8" s="297"/>
      <c r="G8" s="297"/>
      <c r="H8" s="297"/>
      <c r="I8" s="297"/>
      <c r="J8" s="297"/>
      <c r="K8"/>
      <c r="L8"/>
      <c r="M8"/>
      <c r="N8"/>
      <c r="O8"/>
      <c r="P8"/>
      <c r="Q8"/>
      <c r="R8"/>
      <c r="S8"/>
      <c r="T8"/>
      <c r="U8"/>
      <c r="V8"/>
      <c r="W8"/>
      <c r="X8"/>
      <c r="Y8"/>
      <c r="Z8"/>
      <c r="AA8"/>
      <c r="AB8"/>
      <c r="AC8"/>
      <c r="AD8" s="69"/>
      <c r="AE8" s="69"/>
      <c r="AF8" s="69"/>
      <c r="AG8" s="69"/>
      <c r="AH8" s="69"/>
      <c r="AI8" s="69"/>
      <c r="AJ8" s="69"/>
      <c r="AK8" s="69"/>
      <c r="AL8" s="69"/>
      <c r="AM8" s="69"/>
      <c r="AN8" s="69"/>
      <c r="AO8" s="69"/>
      <c r="AP8" s="69"/>
      <c r="AQ8" s="69"/>
      <c r="AR8" s="69"/>
      <c r="AS8" s="69"/>
      <c r="AT8" s="69"/>
      <c r="AU8" s="69"/>
      <c r="AV8" s="69"/>
      <c r="AW8" s="69"/>
      <c r="AX8" s="69"/>
      <c r="AY8" s="69"/>
      <c r="AZ8" s="69"/>
      <c r="BA8" s="69"/>
      <c r="BB8" s="69"/>
      <c r="BC8" s="69"/>
      <c r="BD8" s="69"/>
      <c r="BE8" s="69"/>
      <c r="BF8" s="69"/>
      <c r="BG8" s="69"/>
      <c r="BH8" s="69"/>
      <c r="BI8" s="69"/>
      <c r="BJ8" s="69"/>
    </row>
    <row r="9" spans="3:62" ht="21.75" customHeight="1">
      <c r="C9" s="501"/>
      <c r="D9" s="298" t="s">
        <v>281</v>
      </c>
      <c r="E9" s="299"/>
      <c r="F9" s="300" t="s">
        <v>282</v>
      </c>
      <c r="G9" s="298"/>
      <c r="H9" s="300" t="s">
        <v>117</v>
      </c>
      <c r="I9" s="1"/>
      <c r="J9" s="7"/>
      <c r="K9"/>
      <c r="L9"/>
      <c r="M9"/>
      <c r="N9"/>
      <c r="O9"/>
      <c r="P9"/>
      <c r="Q9"/>
      <c r="R9"/>
      <c r="S9"/>
      <c r="T9"/>
      <c r="U9"/>
      <c r="V9"/>
      <c r="W9"/>
      <c r="X9"/>
      <c r="Y9"/>
      <c r="Z9"/>
      <c r="AA9"/>
      <c r="AB9"/>
      <c r="AC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BD9" s="69"/>
      <c r="BE9" s="69"/>
      <c r="BF9" s="69"/>
      <c r="BG9" s="69"/>
      <c r="BH9" s="69"/>
      <c r="BI9" s="69"/>
      <c r="BJ9" s="69"/>
    </row>
    <row r="10" spans="3:62" ht="6.75" customHeight="1">
      <c r="C10" s="84"/>
      <c r="D10" s="17"/>
      <c r="E10" s="34"/>
      <c r="F10" s="17"/>
      <c r="G10" s="301"/>
      <c r="H10" s="17"/>
      <c r="I10"/>
      <c r="J10"/>
      <c r="K10"/>
      <c r="L10" s="33"/>
      <c r="M10" s="34"/>
      <c r="N10" s="34"/>
      <c r="O10" s="296"/>
      <c r="P10" s="296"/>
      <c r="Q10" s="69"/>
      <c r="R10" s="69"/>
      <c r="S10" s="69"/>
      <c r="T10" s="69"/>
      <c r="U10" s="69"/>
      <c r="V10" s="69"/>
      <c r="W10" s="69"/>
      <c r="X10" s="69"/>
      <c r="Y10" s="69"/>
      <c r="Z10" s="69"/>
      <c r="AA10" s="69"/>
      <c r="AB10" s="69"/>
      <c r="AC10" s="69"/>
      <c r="AD10" s="69"/>
      <c r="AE10" s="69"/>
      <c r="AF10" s="69"/>
      <c r="AG10" s="69"/>
      <c r="AH10" s="69"/>
      <c r="AI10" s="69"/>
      <c r="AJ10" s="69"/>
      <c r="AK10" s="69"/>
      <c r="AL10" s="69"/>
      <c r="AM10" s="69"/>
      <c r="AN10" s="69"/>
      <c r="AO10" s="69"/>
      <c r="AP10" s="69"/>
      <c r="AQ10" s="69"/>
      <c r="AR10" s="69"/>
      <c r="AS10" s="69"/>
      <c r="AT10" s="69"/>
      <c r="AU10" s="69"/>
      <c r="AV10" s="69"/>
      <c r="AW10" s="69"/>
      <c r="AX10" s="69"/>
      <c r="AY10" s="69"/>
      <c r="AZ10" s="69"/>
      <c r="BA10" s="69"/>
      <c r="BB10" s="69"/>
      <c r="BC10" s="69"/>
      <c r="BD10" s="69"/>
      <c r="BE10" s="69"/>
      <c r="BF10" s="69"/>
      <c r="BG10" s="69"/>
      <c r="BH10" s="69"/>
      <c r="BI10" s="69"/>
      <c r="BJ10" s="69"/>
    </row>
    <row r="11" spans="3:62" ht="12.75" customHeight="1">
      <c r="C11" s="297"/>
      <c r="D11" s="121"/>
      <c r="E11" s="303"/>
      <c r="F11" s="121"/>
      <c r="G11" s="304"/>
      <c r="H11" s="121"/>
      <c r="I11" s="305"/>
      <c r="J11" s="305"/>
      <c r="K11" s="62"/>
      <c r="Q11" s="52"/>
      <c r="R11" s="52"/>
      <c r="S11" s="52"/>
      <c r="T11" s="69"/>
      <c r="U11" s="69"/>
      <c r="V11" s="69"/>
      <c r="W11" s="69"/>
      <c r="X11" s="69"/>
      <c r="Y11" s="69"/>
      <c r="Z11" s="69"/>
      <c r="AA11" s="69"/>
      <c r="AB11" s="69"/>
      <c r="AC11" s="69"/>
      <c r="AD11" s="69"/>
      <c r="AE11" s="69"/>
      <c r="AF11" s="69"/>
      <c r="AG11" s="69"/>
      <c r="AH11" s="69"/>
      <c r="AI11" s="69"/>
      <c r="AJ11" s="69"/>
      <c r="AK11" s="69"/>
      <c r="AL11" s="69"/>
      <c r="AM11" s="69"/>
      <c r="AN11" s="69"/>
      <c r="AO11" s="69"/>
      <c r="AP11" s="69"/>
      <c r="AQ11" s="69"/>
      <c r="AR11" s="69"/>
      <c r="AS11" s="69"/>
      <c r="AT11" s="69"/>
      <c r="AU11" s="69"/>
      <c r="AV11" s="69"/>
      <c r="AW11" s="69"/>
      <c r="AX11" s="69"/>
      <c r="AY11" s="69"/>
      <c r="AZ11" s="69"/>
      <c r="BA11" s="69"/>
      <c r="BB11" s="69"/>
      <c r="BC11" s="69"/>
      <c r="BD11" s="69"/>
      <c r="BE11" s="69"/>
      <c r="BF11" s="69"/>
      <c r="BG11" s="69"/>
      <c r="BH11" s="69"/>
      <c r="BI11" s="69"/>
      <c r="BJ11" s="69"/>
    </row>
    <row r="12" spans="3:62" ht="12.75" customHeight="1">
      <c r="C12" s="297" t="s">
        <v>360</v>
      </c>
      <c r="D12" s="306">
        <v>932</v>
      </c>
      <c r="E12" s="307"/>
      <c r="F12" s="306">
        <v>384</v>
      </c>
      <c r="G12" s="308"/>
      <c r="H12" s="306">
        <f>+D12+F12</f>
        <v>1316</v>
      </c>
      <c r="I12" s="309"/>
      <c r="J12" s="310"/>
      <c r="K12" s="311"/>
      <c r="L12" s="52"/>
      <c r="M12" s="52"/>
      <c r="Q12" s="52"/>
      <c r="R12" s="52"/>
      <c r="S12" s="52"/>
      <c r="T12" s="69"/>
      <c r="U12" s="69"/>
      <c r="V12" s="69"/>
      <c r="W12" s="69"/>
      <c r="X12" s="69"/>
      <c r="Y12" s="69"/>
      <c r="Z12" s="69"/>
      <c r="AA12" s="69"/>
      <c r="AB12" s="69"/>
      <c r="AC12" s="69"/>
      <c r="AD12" s="69"/>
      <c r="AE12" s="69"/>
      <c r="AF12" s="69"/>
      <c r="AG12" s="69"/>
      <c r="AH12" s="69"/>
      <c r="AI12" s="69"/>
      <c r="AJ12" s="69"/>
      <c r="AK12" s="69"/>
      <c r="AL12" s="69"/>
      <c r="AM12" s="69"/>
      <c r="AN12" s="69"/>
      <c r="AO12" s="69"/>
      <c r="AP12" s="69"/>
      <c r="AQ12" s="69"/>
      <c r="AR12" s="69"/>
      <c r="AS12" s="69"/>
      <c r="AT12" s="69"/>
      <c r="AU12" s="69"/>
      <c r="AV12" s="69"/>
      <c r="AW12" s="69"/>
      <c r="AX12" s="69"/>
      <c r="AY12" s="69"/>
      <c r="AZ12" s="69"/>
      <c r="BA12" s="69"/>
      <c r="BB12" s="69"/>
      <c r="BC12" s="69"/>
      <c r="BD12" s="69"/>
      <c r="BE12" s="69"/>
      <c r="BF12" s="69"/>
      <c r="BG12" s="69"/>
      <c r="BH12" s="69"/>
      <c r="BI12" s="69"/>
      <c r="BJ12" s="69"/>
    </row>
    <row r="13" spans="3:62" ht="11.25" customHeight="1">
      <c r="C13" s="312" t="s">
        <v>361</v>
      </c>
      <c r="D13" s="53">
        <v>53</v>
      </c>
      <c r="E13" s="104"/>
      <c r="F13" s="53">
        <v>202</v>
      </c>
      <c r="G13" s="53"/>
      <c r="H13" s="53">
        <f>SUM(D13:F13)</f>
        <v>255</v>
      </c>
      <c r="I13" s="311"/>
      <c r="J13" s="310"/>
      <c r="K13" s="311"/>
      <c r="L13" s="52"/>
      <c r="M13" s="52"/>
      <c r="Q13" s="52"/>
      <c r="R13" s="52"/>
      <c r="S13" s="52"/>
      <c r="T13" s="69"/>
      <c r="U13" s="69"/>
      <c r="V13" s="69"/>
      <c r="W13" s="69"/>
      <c r="X13" s="69"/>
      <c r="Y13" s="69"/>
      <c r="Z13" s="69"/>
      <c r="AA13" s="69"/>
      <c r="AB13" s="69"/>
      <c r="AC13" s="69"/>
      <c r="AD13" s="69"/>
      <c r="AE13" s="69"/>
      <c r="AF13" s="69"/>
      <c r="AG13" s="69"/>
      <c r="AH13" s="69"/>
      <c r="AI13" s="69"/>
      <c r="AJ13" s="69"/>
      <c r="AK13" s="69"/>
      <c r="AL13" s="69"/>
      <c r="AM13" s="69"/>
      <c r="AN13" s="69"/>
      <c r="AO13" s="69"/>
      <c r="AP13" s="69"/>
      <c r="AQ13" s="69"/>
      <c r="AR13" s="69"/>
      <c r="AS13" s="69"/>
      <c r="AT13" s="69"/>
      <c r="AU13" s="69"/>
      <c r="AV13" s="69"/>
      <c r="AW13" s="69"/>
      <c r="AX13" s="69"/>
      <c r="AY13" s="69"/>
      <c r="AZ13" s="69"/>
      <c r="BA13" s="69"/>
      <c r="BB13" s="69"/>
      <c r="BC13" s="69"/>
      <c r="BD13" s="69"/>
      <c r="BE13" s="69"/>
      <c r="BF13" s="69"/>
      <c r="BG13" s="69"/>
      <c r="BH13" s="69"/>
      <c r="BI13" s="69"/>
      <c r="BJ13" s="69"/>
    </row>
    <row r="14" spans="3:62" ht="11.25" customHeight="1">
      <c r="C14" s="312" t="s">
        <v>283</v>
      </c>
      <c r="D14" s="17">
        <f>+D13/D12</f>
        <v>0.05686695278969957</v>
      </c>
      <c r="E14" s="34"/>
      <c r="F14" s="17">
        <f>+F13/F12</f>
        <v>0.5260416666666666</v>
      </c>
      <c r="G14" s="313"/>
      <c r="H14" s="17">
        <f>+H13/H12</f>
        <v>0.19376899696048633</v>
      </c>
      <c r="I14" s="305"/>
      <c r="J14" s="305"/>
      <c r="K14" s="62"/>
      <c r="Q14" s="52"/>
      <c r="R14" s="52"/>
      <c r="S14" s="52"/>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69"/>
    </row>
    <row r="15" spans="3:62" ht="16.5" customHeight="1" thickBot="1">
      <c r="C15" s="297" t="s">
        <v>376</v>
      </c>
      <c r="D15" s="314">
        <f>+D12-D13</f>
        <v>879</v>
      </c>
      <c r="E15" s="315"/>
      <c r="F15" s="314">
        <f>+F12-F13</f>
        <v>182</v>
      </c>
      <c r="G15" s="316"/>
      <c r="H15" s="314">
        <f>+D15+F15</f>
        <v>1061</v>
      </c>
      <c r="I15" s="305"/>
      <c r="J15" s="305"/>
      <c r="K15" s="62"/>
      <c r="Q15" s="52"/>
      <c r="R15" s="52"/>
      <c r="S15" s="52"/>
      <c r="T15" s="69"/>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c r="AS15" s="69"/>
      <c r="AT15" s="69"/>
      <c r="AU15" s="69"/>
      <c r="AV15" s="69"/>
      <c r="AW15" s="69"/>
      <c r="AX15" s="69"/>
      <c r="AY15" s="69"/>
      <c r="AZ15" s="69"/>
      <c r="BA15" s="69"/>
      <c r="BB15" s="69"/>
      <c r="BC15" s="69"/>
      <c r="BD15" s="69"/>
      <c r="BE15" s="69"/>
      <c r="BF15" s="69"/>
      <c r="BG15" s="69"/>
      <c r="BH15" s="69"/>
      <c r="BI15" s="69"/>
      <c r="BJ15" s="69"/>
    </row>
    <row r="16" spans="3:62" ht="12" customHeight="1" thickTop="1">
      <c r="C16" s="297"/>
      <c r="D16" s="302"/>
      <c r="E16" s="303"/>
      <c r="F16" s="302"/>
      <c r="G16" s="304"/>
      <c r="H16" s="302"/>
      <c r="I16" s="305"/>
      <c r="J16" s="305"/>
      <c r="K16" s="62"/>
      <c r="Q16" s="52"/>
      <c r="R16" s="52"/>
      <c r="S16" s="52"/>
      <c r="T16" s="69"/>
      <c r="U16" s="69"/>
      <c r="V16" s="69"/>
      <c r="W16" s="69"/>
      <c r="X16" s="69"/>
      <c r="Y16" s="69"/>
      <c r="Z16" s="69"/>
      <c r="AA16" s="69"/>
      <c r="AB16" s="69"/>
      <c r="AC16" s="69"/>
      <c r="AD16" s="69"/>
      <c r="AE16" s="69"/>
      <c r="AF16" s="69"/>
      <c r="AG16" s="69"/>
      <c r="AH16" s="69"/>
      <c r="AI16" s="69"/>
      <c r="AJ16" s="69"/>
      <c r="AK16" s="69"/>
      <c r="AL16" s="69"/>
      <c r="AM16" s="69"/>
      <c r="AN16" s="69"/>
      <c r="AO16" s="69"/>
      <c r="AP16" s="69"/>
      <c r="AQ16" s="69"/>
      <c r="AR16" s="69"/>
      <c r="AS16" s="69"/>
      <c r="AT16" s="69"/>
      <c r="AU16" s="69"/>
      <c r="AV16" s="69"/>
      <c r="AW16" s="69"/>
      <c r="AX16" s="69"/>
      <c r="AY16" s="69"/>
      <c r="AZ16" s="69"/>
      <c r="BA16" s="69"/>
      <c r="BB16" s="69"/>
      <c r="BC16" s="69"/>
      <c r="BD16" s="69"/>
      <c r="BE16" s="69"/>
      <c r="BF16" s="69"/>
      <c r="BG16" s="69"/>
      <c r="BH16" s="69"/>
      <c r="BI16" s="69"/>
      <c r="BJ16" s="69"/>
    </row>
    <row r="17" spans="3:62" ht="13.5" customHeight="1">
      <c r="C17" s="297" t="s">
        <v>374</v>
      </c>
      <c r="D17" s="306">
        <v>933</v>
      </c>
      <c r="E17" s="307"/>
      <c r="F17" s="306">
        <v>290</v>
      </c>
      <c r="G17" s="308"/>
      <c r="H17" s="306">
        <f>+D17+F17</f>
        <v>1223</v>
      </c>
      <c r="I17" s="305"/>
      <c r="J17" s="305"/>
      <c r="K17" s="62"/>
      <c r="Q17" s="52"/>
      <c r="R17" s="52"/>
      <c r="S17" s="52"/>
      <c r="T17" s="69"/>
      <c r="U17" s="69"/>
      <c r="V17" s="69"/>
      <c r="W17" s="69"/>
      <c r="X17" s="69"/>
      <c r="Y17" s="69"/>
      <c r="Z17" s="69"/>
      <c r="AA17" s="69"/>
      <c r="AB17" s="69"/>
      <c r="AC17" s="69"/>
      <c r="AD17" s="69"/>
      <c r="AE17" s="69"/>
      <c r="AF17" s="69"/>
      <c r="AG17" s="69"/>
      <c r="AH17" s="69"/>
      <c r="AI17" s="69"/>
      <c r="AJ17" s="69"/>
      <c r="AK17" s="69"/>
      <c r="AL17" s="69"/>
      <c r="AM17" s="69"/>
      <c r="AN17" s="69"/>
      <c r="AO17" s="69"/>
      <c r="AP17" s="69"/>
      <c r="AQ17" s="69"/>
      <c r="AR17" s="69"/>
      <c r="AS17" s="69"/>
      <c r="AT17" s="69"/>
      <c r="AU17" s="69"/>
      <c r="AV17" s="69"/>
      <c r="AW17" s="69"/>
      <c r="AX17" s="69"/>
      <c r="AY17" s="69"/>
      <c r="AZ17" s="69"/>
      <c r="BA17" s="69"/>
      <c r="BB17" s="69"/>
      <c r="BC17" s="69"/>
      <c r="BD17" s="69"/>
      <c r="BE17" s="69"/>
      <c r="BF17" s="69"/>
      <c r="BG17" s="69"/>
      <c r="BH17" s="69"/>
      <c r="BI17" s="69"/>
      <c r="BJ17" s="69"/>
    </row>
    <row r="18" spans="3:62" ht="12.75" customHeight="1">
      <c r="C18" s="312" t="s">
        <v>375</v>
      </c>
      <c r="D18" s="53">
        <v>57</v>
      </c>
      <c r="E18" s="104"/>
      <c r="F18" s="53">
        <v>215</v>
      </c>
      <c r="G18" s="53"/>
      <c r="H18" s="53">
        <f>SUM(D18:F18)</f>
        <v>272</v>
      </c>
      <c r="I18" s="305"/>
      <c r="J18" s="305"/>
      <c r="K18" s="62"/>
      <c r="Q18" s="52"/>
      <c r="R18" s="52"/>
      <c r="S18" s="52"/>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69"/>
      <c r="BA18" s="69"/>
      <c r="BB18" s="69"/>
      <c r="BC18" s="69"/>
      <c r="BD18" s="69"/>
      <c r="BE18" s="69"/>
      <c r="BF18" s="69"/>
      <c r="BG18" s="69"/>
      <c r="BH18" s="69"/>
      <c r="BI18" s="69"/>
      <c r="BJ18" s="69"/>
    </row>
    <row r="19" spans="3:62" ht="14.25" customHeight="1">
      <c r="C19" s="312" t="s">
        <v>283</v>
      </c>
      <c r="D19" s="17">
        <f>+D18/D17</f>
        <v>0.06109324758842444</v>
      </c>
      <c r="E19" s="34"/>
      <c r="F19" s="17">
        <f>+F18/F17</f>
        <v>0.7413793103448276</v>
      </c>
      <c r="G19" s="313"/>
      <c r="H19" s="17">
        <f>+H18/H17</f>
        <v>0.2224039247751431</v>
      </c>
      <c r="I19" s="305"/>
      <c r="J19" s="305"/>
      <c r="K19" s="62"/>
      <c r="Q19" s="52"/>
      <c r="R19" s="52"/>
      <c r="S19" s="52"/>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69"/>
      <c r="AV19" s="69"/>
      <c r="AW19" s="69"/>
      <c r="AX19" s="69"/>
      <c r="AY19" s="69"/>
      <c r="AZ19" s="69"/>
      <c r="BA19" s="69"/>
      <c r="BB19" s="69"/>
      <c r="BC19" s="69"/>
      <c r="BD19" s="69"/>
      <c r="BE19" s="69"/>
      <c r="BF19" s="69"/>
      <c r="BG19" s="69"/>
      <c r="BH19" s="69"/>
      <c r="BI19" s="69"/>
      <c r="BJ19" s="69"/>
    </row>
    <row r="20" spans="3:62" ht="16.5" customHeight="1" thickBot="1">
      <c r="C20" s="297" t="s">
        <v>437</v>
      </c>
      <c r="D20" s="314">
        <f>+D17-D18</f>
        <v>876</v>
      </c>
      <c r="E20" s="315"/>
      <c r="F20" s="314">
        <f>+F17-F18</f>
        <v>75</v>
      </c>
      <c r="G20" s="316"/>
      <c r="H20" s="314">
        <f>+D20+F20</f>
        <v>951</v>
      </c>
      <c r="I20" s="305"/>
      <c r="J20" s="305"/>
      <c r="K20" s="62"/>
      <c r="Q20" s="52"/>
      <c r="R20" s="52"/>
      <c r="S20" s="52"/>
      <c r="T20" s="69"/>
      <c r="U20" s="69"/>
      <c r="V20" s="69"/>
      <c r="W20" s="69"/>
      <c r="X20" s="69"/>
      <c r="Y20" s="69"/>
      <c r="Z20" s="69"/>
      <c r="AA20" s="69"/>
      <c r="AB20" s="69"/>
      <c r="AC20" s="69"/>
      <c r="AD20" s="69"/>
      <c r="AE20" s="69"/>
      <c r="AF20" s="69"/>
      <c r="AG20" s="69"/>
      <c r="AH20" s="69"/>
      <c r="AI20" s="69"/>
      <c r="AJ20" s="69"/>
      <c r="AK20" s="69"/>
      <c r="AL20" s="69"/>
      <c r="AM20" s="69"/>
      <c r="AN20" s="69"/>
      <c r="AO20" s="69"/>
      <c r="AP20" s="69"/>
      <c r="AQ20" s="69"/>
      <c r="AR20" s="69"/>
      <c r="AS20" s="69"/>
      <c r="AT20" s="69"/>
      <c r="AU20" s="69"/>
      <c r="AV20" s="69"/>
      <c r="AW20" s="69"/>
      <c r="AX20" s="69"/>
      <c r="AY20" s="69"/>
      <c r="AZ20" s="69"/>
      <c r="BA20" s="69"/>
      <c r="BB20" s="69"/>
      <c r="BC20" s="69"/>
      <c r="BD20" s="69"/>
      <c r="BE20" s="69"/>
      <c r="BF20" s="69"/>
      <c r="BG20" s="69"/>
      <c r="BH20" s="69"/>
      <c r="BI20" s="69"/>
      <c r="BJ20" s="69"/>
    </row>
    <row r="21" spans="3:62" ht="12" customHeight="1" thickTop="1">
      <c r="C21" s="297"/>
      <c r="D21" s="302"/>
      <c r="E21" s="303"/>
      <c r="F21" s="302"/>
      <c r="G21" s="304"/>
      <c r="H21" s="302"/>
      <c r="I21" s="305"/>
      <c r="J21" s="305"/>
      <c r="K21" s="62"/>
      <c r="Q21" s="52"/>
      <c r="R21" s="52"/>
      <c r="S21" s="52"/>
      <c r="T21" s="69"/>
      <c r="U21" s="69"/>
      <c r="V21" s="69"/>
      <c r="W21" s="69"/>
      <c r="X21" s="69"/>
      <c r="Y21" s="69"/>
      <c r="Z21" s="69"/>
      <c r="AA21" s="69"/>
      <c r="AB21" s="69"/>
      <c r="AC21" s="69"/>
      <c r="AD21" s="69"/>
      <c r="AE21" s="69"/>
      <c r="AF21" s="69"/>
      <c r="AG21" s="69"/>
      <c r="AH21" s="69"/>
      <c r="AI21" s="69"/>
      <c r="AJ21" s="69"/>
      <c r="AK21" s="69"/>
      <c r="AL21" s="69"/>
      <c r="AM21" s="69"/>
      <c r="AN21" s="69"/>
      <c r="AO21" s="69"/>
      <c r="AP21" s="69"/>
      <c r="AQ21" s="69"/>
      <c r="AR21" s="69"/>
      <c r="AS21" s="69"/>
      <c r="AT21" s="69"/>
      <c r="AU21" s="69"/>
      <c r="AV21" s="69"/>
      <c r="AW21" s="69"/>
      <c r="AX21" s="69"/>
      <c r="AY21" s="69"/>
      <c r="AZ21" s="69"/>
      <c r="BA21" s="69"/>
      <c r="BB21" s="69"/>
      <c r="BC21" s="69"/>
      <c r="BD21" s="69"/>
      <c r="BE21" s="69"/>
      <c r="BF21" s="69"/>
      <c r="BG21" s="69"/>
      <c r="BH21" s="69"/>
      <c r="BI21" s="69"/>
      <c r="BJ21" s="69"/>
    </row>
    <row r="22" spans="3:62" ht="13.5" customHeight="1">
      <c r="C22" s="297" t="s">
        <v>421</v>
      </c>
      <c r="D22" s="306">
        <v>887</v>
      </c>
      <c r="E22" s="307"/>
      <c r="F22" s="306">
        <v>227</v>
      </c>
      <c r="G22" s="308"/>
      <c r="H22" s="306">
        <f>+D22+F22</f>
        <v>1114</v>
      </c>
      <c r="I22" s="305"/>
      <c r="J22" s="305"/>
      <c r="K22" s="62"/>
      <c r="Q22" s="52"/>
      <c r="R22" s="52"/>
      <c r="S22" s="52"/>
      <c r="T22" s="69"/>
      <c r="U22" s="69"/>
      <c r="V22" s="69"/>
      <c r="W22" s="69"/>
      <c r="X22" s="69"/>
      <c r="Y22" s="69"/>
      <c r="Z22" s="69"/>
      <c r="AA22" s="69"/>
      <c r="AB22" s="69"/>
      <c r="AC22" s="69"/>
      <c r="AD22" s="69"/>
      <c r="AE22" s="69"/>
      <c r="AF22" s="69"/>
      <c r="AG22" s="69"/>
      <c r="AH22" s="69"/>
      <c r="AI22" s="69"/>
      <c r="AJ22" s="69"/>
      <c r="AK22" s="69"/>
      <c r="AL22" s="69"/>
      <c r="AM22" s="69"/>
      <c r="AN22" s="69"/>
      <c r="AO22" s="69"/>
      <c r="AP22" s="69"/>
      <c r="AQ22" s="69"/>
      <c r="AR22" s="69"/>
      <c r="AS22" s="69"/>
      <c r="AT22" s="69"/>
      <c r="AU22" s="69"/>
      <c r="AV22" s="69"/>
      <c r="AW22" s="69"/>
      <c r="AX22" s="69"/>
      <c r="AY22" s="69"/>
      <c r="AZ22" s="69"/>
      <c r="BA22" s="69"/>
      <c r="BB22" s="69"/>
      <c r="BC22" s="69"/>
      <c r="BD22" s="69"/>
      <c r="BE22" s="69"/>
      <c r="BF22" s="69"/>
      <c r="BG22" s="69"/>
      <c r="BH22" s="69"/>
      <c r="BI22" s="69"/>
      <c r="BJ22" s="69"/>
    </row>
    <row r="23" spans="3:62" ht="12.75" customHeight="1">
      <c r="C23" s="312" t="s">
        <v>422</v>
      </c>
      <c r="D23" s="53">
        <v>52</v>
      </c>
      <c r="E23" s="104"/>
      <c r="F23" s="53">
        <v>167</v>
      </c>
      <c r="G23" s="53"/>
      <c r="H23" s="53">
        <f>SUM(D23:F23)</f>
        <v>219</v>
      </c>
      <c r="I23" s="305"/>
      <c r="J23" s="305"/>
      <c r="K23" s="62"/>
      <c r="Q23" s="52"/>
      <c r="R23" s="52"/>
      <c r="S23" s="52"/>
      <c r="T23" s="69"/>
      <c r="U23" s="69"/>
      <c r="V23" s="69"/>
      <c r="W23" s="69"/>
      <c r="X23" s="69"/>
      <c r="Y23" s="69"/>
      <c r="Z23" s="69"/>
      <c r="AA23" s="69"/>
      <c r="AB23" s="69"/>
      <c r="AC23" s="69"/>
      <c r="AD23" s="69"/>
      <c r="AE23" s="69"/>
      <c r="AF23" s="69"/>
      <c r="AG23" s="69"/>
      <c r="AH23" s="69"/>
      <c r="AI23" s="69"/>
      <c r="AJ23" s="69"/>
      <c r="AK23" s="69"/>
      <c r="AL23" s="69"/>
      <c r="AM23" s="69"/>
      <c r="AN23" s="69"/>
      <c r="AO23" s="69"/>
      <c r="AP23" s="69"/>
      <c r="AQ23" s="69"/>
      <c r="AR23" s="69"/>
      <c r="AS23" s="69"/>
      <c r="AT23" s="69"/>
      <c r="AU23" s="69"/>
      <c r="AV23" s="69"/>
      <c r="AW23" s="69"/>
      <c r="AX23" s="69"/>
      <c r="AY23" s="69"/>
      <c r="AZ23" s="69"/>
      <c r="BA23" s="69"/>
      <c r="BB23" s="69"/>
      <c r="BC23" s="69"/>
      <c r="BD23" s="69"/>
      <c r="BE23" s="69"/>
      <c r="BF23" s="69"/>
      <c r="BG23" s="69"/>
      <c r="BH23" s="69"/>
      <c r="BI23" s="69"/>
      <c r="BJ23" s="69"/>
    </row>
    <row r="24" spans="3:62" ht="14.25" customHeight="1">
      <c r="C24" s="312" t="s">
        <v>283</v>
      </c>
      <c r="D24" s="17">
        <f>+D23/D22</f>
        <v>0.058624577226606536</v>
      </c>
      <c r="E24" s="34"/>
      <c r="F24" s="17">
        <f>+F23/F22</f>
        <v>0.73568281938326</v>
      </c>
      <c r="G24" s="313"/>
      <c r="H24" s="17">
        <f>+H23/H22</f>
        <v>0.19658886894075403</v>
      </c>
      <c r="I24" s="305"/>
      <c r="J24" s="305"/>
      <c r="K24" s="62"/>
      <c r="Q24" s="52"/>
      <c r="R24" s="52"/>
      <c r="S24" s="52"/>
      <c r="T24" s="69"/>
      <c r="U24" s="69"/>
      <c r="V24" s="69"/>
      <c r="W24" s="69"/>
      <c r="X24" s="69"/>
      <c r="Y24" s="69"/>
      <c r="Z24" s="69"/>
      <c r="AA24" s="69"/>
      <c r="AB24" s="69"/>
      <c r="AC24" s="69"/>
      <c r="AD24" s="69"/>
      <c r="AE24" s="69"/>
      <c r="AF24" s="69"/>
      <c r="AG24" s="69"/>
      <c r="AH24" s="69"/>
      <c r="AI24" s="69"/>
      <c r="AJ24" s="69"/>
      <c r="AK24" s="69"/>
      <c r="AL24" s="69"/>
      <c r="AM24" s="69"/>
      <c r="AN24" s="69"/>
      <c r="AO24" s="69"/>
      <c r="AP24" s="69"/>
      <c r="AQ24" s="69"/>
      <c r="AR24" s="69"/>
      <c r="AS24" s="69"/>
      <c r="AT24" s="69"/>
      <c r="AU24" s="69"/>
      <c r="AV24" s="69"/>
      <c r="AW24" s="69"/>
      <c r="AX24" s="69"/>
      <c r="AY24" s="69"/>
      <c r="AZ24" s="69"/>
      <c r="BA24" s="69"/>
      <c r="BB24" s="69"/>
      <c r="BC24" s="69"/>
      <c r="BD24" s="69"/>
      <c r="BE24" s="69"/>
      <c r="BF24" s="69"/>
      <c r="BG24" s="69"/>
      <c r="BH24" s="69"/>
      <c r="BI24" s="69"/>
      <c r="BJ24" s="69"/>
    </row>
    <row r="25" spans="3:62" ht="16.5" customHeight="1" thickBot="1">
      <c r="C25" s="297" t="s">
        <v>448</v>
      </c>
      <c r="D25" s="314">
        <f>+D22-D23</f>
        <v>835</v>
      </c>
      <c r="E25" s="315"/>
      <c r="F25" s="314">
        <f>+F22-F23</f>
        <v>60</v>
      </c>
      <c r="G25" s="316"/>
      <c r="H25" s="314">
        <f>+D25+F25</f>
        <v>895</v>
      </c>
      <c r="I25" s="305"/>
      <c r="J25" s="305"/>
      <c r="K25" s="62"/>
      <c r="Q25" s="52"/>
      <c r="R25" s="52"/>
      <c r="S25" s="52"/>
      <c r="T25" s="69"/>
      <c r="U25" s="69"/>
      <c r="V25" s="69"/>
      <c r="W25" s="69"/>
      <c r="X25" s="69"/>
      <c r="Y25" s="69"/>
      <c r="Z25" s="69"/>
      <c r="AA25" s="69"/>
      <c r="AB25" s="69"/>
      <c r="AC25" s="69"/>
      <c r="AD25" s="69"/>
      <c r="AE25" s="69"/>
      <c r="AF25" s="69"/>
      <c r="AG25" s="69"/>
      <c r="AH25" s="69"/>
      <c r="AI25" s="69"/>
      <c r="AJ25" s="69"/>
      <c r="AK25" s="69"/>
      <c r="AL25" s="69"/>
      <c r="AM25" s="69"/>
      <c r="AN25" s="69"/>
      <c r="AO25" s="69"/>
      <c r="AP25" s="69"/>
      <c r="AQ25" s="69"/>
      <c r="AR25" s="69"/>
      <c r="AS25" s="69"/>
      <c r="AT25" s="69"/>
      <c r="AU25" s="69"/>
      <c r="AV25" s="69"/>
      <c r="AW25" s="69"/>
      <c r="AX25" s="69"/>
      <c r="AY25" s="69"/>
      <c r="AZ25" s="69"/>
      <c r="BA25" s="69"/>
      <c r="BB25" s="69"/>
      <c r="BC25" s="69"/>
      <c r="BD25" s="69"/>
      <c r="BE25" s="69"/>
      <c r="BF25" s="69"/>
      <c r="BG25" s="69"/>
      <c r="BH25" s="69"/>
      <c r="BI25" s="69"/>
      <c r="BJ25" s="69"/>
    </row>
    <row r="26" spans="3:62" ht="12" customHeight="1" thickTop="1">
      <c r="C26" s="297"/>
      <c r="D26" s="302"/>
      <c r="E26" s="303"/>
      <c r="F26" s="302"/>
      <c r="G26" s="304"/>
      <c r="H26" s="302"/>
      <c r="I26" s="305"/>
      <c r="J26" s="305"/>
      <c r="K26" s="62"/>
      <c r="Q26" s="52"/>
      <c r="R26" s="52"/>
      <c r="S26" s="52"/>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69"/>
      <c r="BD26" s="69"/>
      <c r="BE26" s="69"/>
      <c r="BF26" s="69"/>
      <c r="BG26" s="69"/>
      <c r="BH26" s="69"/>
      <c r="BI26" s="69"/>
      <c r="BJ26" s="69"/>
    </row>
    <row r="27" spans="3:62" ht="13.5" customHeight="1">
      <c r="C27" s="297" t="s">
        <v>445</v>
      </c>
      <c r="D27" s="306">
        <v>820</v>
      </c>
      <c r="E27" s="307"/>
      <c r="F27" s="306">
        <v>210</v>
      </c>
      <c r="G27" s="308"/>
      <c r="H27" s="306">
        <f>+D27+F27</f>
        <v>1030</v>
      </c>
      <c r="I27" s="305"/>
      <c r="J27" s="305"/>
      <c r="K27" s="62"/>
      <c r="Q27" s="52"/>
      <c r="R27" s="52"/>
      <c r="S27" s="52"/>
      <c r="T27" s="69"/>
      <c r="U27" s="69"/>
      <c r="V27" s="69"/>
      <c r="W27" s="69"/>
      <c r="X27" s="69"/>
      <c r="Y27" s="69"/>
      <c r="Z27" s="69"/>
      <c r="AA27" s="69"/>
      <c r="AB27" s="69"/>
      <c r="AC27" s="69"/>
      <c r="AD27" s="69"/>
      <c r="AE27" s="69"/>
      <c r="AF27" s="69"/>
      <c r="AG27" s="69"/>
      <c r="AH27" s="69"/>
      <c r="AI27" s="69"/>
      <c r="AJ27" s="69"/>
      <c r="AK27" s="69"/>
      <c r="AL27" s="69"/>
      <c r="AM27" s="69"/>
      <c r="AN27" s="69"/>
      <c r="AO27" s="69"/>
      <c r="AP27" s="69"/>
      <c r="AQ27" s="69"/>
      <c r="AR27" s="69"/>
      <c r="AS27" s="69"/>
      <c r="AT27" s="69"/>
      <c r="AU27" s="69"/>
      <c r="AV27" s="69"/>
      <c r="AW27" s="69"/>
      <c r="AX27" s="69"/>
      <c r="AY27" s="69"/>
      <c r="AZ27" s="69"/>
      <c r="BA27" s="69"/>
      <c r="BB27" s="69"/>
      <c r="BC27" s="69"/>
      <c r="BD27" s="69"/>
      <c r="BE27" s="69"/>
      <c r="BF27" s="69"/>
      <c r="BG27" s="69"/>
      <c r="BH27" s="69"/>
      <c r="BI27" s="69"/>
      <c r="BJ27" s="69"/>
    </row>
    <row r="28" spans="3:62" ht="12.75" customHeight="1">
      <c r="C28" s="312" t="s">
        <v>446</v>
      </c>
      <c r="D28" s="53">
        <v>49</v>
      </c>
      <c r="E28" s="104"/>
      <c r="F28" s="53">
        <v>158</v>
      </c>
      <c r="G28" s="53"/>
      <c r="H28" s="53">
        <f>SUM(D28:F28)</f>
        <v>207</v>
      </c>
      <c r="I28" s="305"/>
      <c r="J28" s="305"/>
      <c r="K28" s="62"/>
      <c r="Q28" s="52"/>
      <c r="R28" s="52"/>
      <c r="S28" s="52"/>
      <c r="T28" s="69"/>
      <c r="U28" s="69"/>
      <c r="V28" s="69"/>
      <c r="W28" s="69"/>
      <c r="X28" s="69"/>
      <c r="Y28" s="69"/>
      <c r="Z28" s="69"/>
      <c r="AA28" s="69"/>
      <c r="AB28" s="69"/>
      <c r="AC28" s="69"/>
      <c r="AD28" s="69"/>
      <c r="AE28" s="69"/>
      <c r="AF28" s="69"/>
      <c r="AG28" s="69"/>
      <c r="AH28" s="69"/>
      <c r="AI28" s="69"/>
      <c r="AJ28" s="69"/>
      <c r="AK28" s="69"/>
      <c r="AL28" s="69"/>
      <c r="AM28" s="69"/>
      <c r="AN28" s="69"/>
      <c r="AO28" s="69"/>
      <c r="AP28" s="69"/>
      <c r="AQ28" s="69"/>
      <c r="AR28" s="69"/>
      <c r="AS28" s="69"/>
      <c r="AT28" s="69"/>
      <c r="AU28" s="69"/>
      <c r="AV28" s="69"/>
      <c r="AW28" s="69"/>
      <c r="AX28" s="69"/>
      <c r="AY28" s="69"/>
      <c r="AZ28" s="69"/>
      <c r="BA28" s="69"/>
      <c r="BB28" s="69"/>
      <c r="BC28" s="69"/>
      <c r="BD28" s="69"/>
      <c r="BE28" s="69"/>
      <c r="BF28" s="69"/>
      <c r="BG28" s="69"/>
      <c r="BH28" s="69"/>
      <c r="BI28" s="69"/>
      <c r="BJ28" s="69"/>
    </row>
    <row r="29" spans="3:62" ht="14.25" customHeight="1">
      <c r="C29" s="312" t="s">
        <v>283</v>
      </c>
      <c r="D29" s="17">
        <f>+D28/D27</f>
        <v>0.05975609756097561</v>
      </c>
      <c r="E29" s="34"/>
      <c r="F29" s="17">
        <f>+F28/F27</f>
        <v>0.7523809523809524</v>
      </c>
      <c r="G29" s="313"/>
      <c r="H29" s="17">
        <f>+H28/H27</f>
        <v>0.20097087378640777</v>
      </c>
      <c r="I29" s="305"/>
      <c r="J29" s="305"/>
      <c r="K29" s="62"/>
      <c r="Q29" s="52"/>
      <c r="R29" s="52"/>
      <c r="S29" s="52"/>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c r="AV29" s="69"/>
      <c r="AW29" s="69"/>
      <c r="AX29" s="69"/>
      <c r="AY29" s="69"/>
      <c r="AZ29" s="69"/>
      <c r="BA29" s="69"/>
      <c r="BB29" s="69"/>
      <c r="BC29" s="69"/>
      <c r="BD29" s="69"/>
      <c r="BE29" s="69"/>
      <c r="BF29" s="69"/>
      <c r="BG29" s="69"/>
      <c r="BH29" s="69"/>
      <c r="BI29" s="69"/>
      <c r="BJ29" s="69"/>
    </row>
    <row r="30" spans="3:62" ht="16.5" customHeight="1" thickBot="1">
      <c r="C30" s="297" t="s">
        <v>447</v>
      </c>
      <c r="D30" s="314">
        <f>+D27-D28</f>
        <v>771</v>
      </c>
      <c r="E30" s="315"/>
      <c r="F30" s="314">
        <f>+F27-F28</f>
        <v>52</v>
      </c>
      <c r="G30" s="316"/>
      <c r="H30" s="314">
        <f>+D30+F30</f>
        <v>823</v>
      </c>
      <c r="I30" s="305"/>
      <c r="J30" s="305"/>
      <c r="K30" s="62"/>
      <c r="Q30" s="52"/>
      <c r="R30" s="52"/>
      <c r="S30" s="52"/>
      <c r="T30" s="69"/>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c r="AV30" s="69"/>
      <c r="AW30" s="69"/>
      <c r="AX30" s="69"/>
      <c r="AY30" s="69"/>
      <c r="AZ30" s="69"/>
      <c r="BA30" s="69"/>
      <c r="BB30" s="69"/>
      <c r="BC30" s="69"/>
      <c r="BD30" s="69"/>
      <c r="BE30" s="69"/>
      <c r="BF30" s="69"/>
      <c r="BG30" s="69"/>
      <c r="BH30" s="69"/>
      <c r="BI30" s="69"/>
      <c r="BJ30" s="69"/>
    </row>
    <row r="31" spans="3:62" ht="8.25" customHeight="1" thickTop="1">
      <c r="C31" s="297"/>
      <c r="D31" s="302"/>
      <c r="E31" s="303"/>
      <c r="F31" s="302"/>
      <c r="G31" s="304"/>
      <c r="H31" s="302"/>
      <c r="I31" s="305"/>
      <c r="J31" s="305"/>
      <c r="K31" s="62"/>
      <c r="Q31" s="52"/>
      <c r="R31" s="52"/>
      <c r="S31" s="52"/>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row>
    <row r="32" spans="3:62" ht="16.5" customHeight="1">
      <c r="C32" s="645" t="s">
        <v>370</v>
      </c>
      <c r="D32" s="646"/>
      <c r="E32" s="646"/>
      <c r="F32" s="646"/>
      <c r="G32" s="646"/>
      <c r="H32" s="646"/>
      <c r="I32" s="646"/>
      <c r="J32" s="646"/>
      <c r="K32" s="317"/>
      <c r="L32" s="318"/>
      <c r="M32" s="318"/>
      <c r="N32" s="318"/>
      <c r="O32" s="318"/>
      <c r="P32" s="318"/>
      <c r="Q32" s="319"/>
      <c r="R32" s="319"/>
      <c r="S32" s="319"/>
      <c r="T32" s="76"/>
      <c r="U32" s="76"/>
      <c r="V32" s="76"/>
      <c r="W32" s="76"/>
      <c r="X32" s="76"/>
      <c r="Y32" s="76"/>
      <c r="Z32" s="76"/>
      <c r="AA32" s="69"/>
      <c r="AB32" s="69"/>
      <c r="AC32" s="69"/>
      <c r="AD32" s="69"/>
      <c r="AE32" s="69"/>
      <c r="AF32" s="69"/>
      <c r="AG32" s="69"/>
      <c r="AH32" s="69"/>
      <c r="AI32" s="69"/>
      <c r="AJ32" s="69"/>
      <c r="AK32" s="69"/>
      <c r="AL32" s="69"/>
      <c r="AM32" s="69"/>
      <c r="AN32" s="69"/>
      <c r="AO32" s="69"/>
      <c r="AP32" s="69"/>
      <c r="AQ32" s="69"/>
      <c r="AR32" s="69"/>
      <c r="AS32" s="69"/>
      <c r="AT32" s="69"/>
      <c r="AU32" s="69"/>
      <c r="AV32" s="69"/>
      <c r="AW32" s="69"/>
      <c r="AX32" s="69"/>
      <c r="AY32" s="69"/>
      <c r="AZ32" s="69"/>
      <c r="BA32" s="69"/>
      <c r="BB32" s="69"/>
      <c r="BC32" s="69"/>
      <c r="BD32" s="69"/>
      <c r="BE32" s="69"/>
      <c r="BF32" s="69"/>
      <c r="BG32" s="69"/>
      <c r="BH32" s="69"/>
      <c r="BI32" s="69"/>
      <c r="BJ32" s="69"/>
    </row>
    <row r="33" spans="3:62" ht="33" customHeight="1">
      <c r="C33" s="645" t="s">
        <v>527</v>
      </c>
      <c r="D33" s="646"/>
      <c r="E33" s="646"/>
      <c r="F33" s="646"/>
      <c r="G33" s="646"/>
      <c r="H33" s="646"/>
      <c r="I33" s="646"/>
      <c r="J33" s="646"/>
      <c r="K33" s="317"/>
      <c r="L33" s="320"/>
      <c r="M33" s="320"/>
      <c r="N33" s="320"/>
      <c r="O33" s="320"/>
      <c r="P33" s="320"/>
      <c r="Q33" s="321"/>
      <c r="R33" s="319"/>
      <c r="S33" s="319"/>
      <c r="T33" s="76"/>
      <c r="U33" s="76"/>
      <c r="V33" s="76"/>
      <c r="W33" s="76"/>
      <c r="X33" s="76"/>
      <c r="Y33" s="76"/>
      <c r="Z33" s="76"/>
      <c r="AA33" s="76"/>
      <c r="AB33" s="69"/>
      <c r="AC33" s="69"/>
      <c r="AD33" s="69"/>
      <c r="AE33" s="69"/>
      <c r="AF33" s="69"/>
      <c r="AG33" s="69"/>
      <c r="AH33" s="69"/>
      <c r="AI33" s="69"/>
      <c r="AJ33" s="69"/>
      <c r="AK33" s="69"/>
      <c r="AL33" s="69"/>
      <c r="AM33" s="69"/>
      <c r="AN33" s="69"/>
      <c r="AO33" s="69"/>
      <c r="AP33" s="69"/>
      <c r="AQ33" s="69"/>
      <c r="AR33" s="69"/>
      <c r="AS33" s="69"/>
      <c r="AT33" s="69"/>
      <c r="AU33" s="69"/>
      <c r="AV33" s="69"/>
      <c r="AW33" s="69"/>
      <c r="AX33" s="69"/>
      <c r="AY33" s="69"/>
      <c r="AZ33" s="69"/>
      <c r="BA33" s="69"/>
      <c r="BB33" s="69"/>
      <c r="BC33" s="69"/>
      <c r="BD33" s="69"/>
      <c r="BE33" s="69"/>
      <c r="BF33" s="69"/>
      <c r="BG33" s="69"/>
      <c r="BH33" s="69"/>
      <c r="BI33" s="69"/>
      <c r="BJ33" s="69"/>
    </row>
    <row r="34" spans="3:16" s="1" customFormat="1" ht="21.75" customHeight="1">
      <c r="C34" s="643" t="s">
        <v>371</v>
      </c>
      <c r="D34" s="644"/>
      <c r="E34" s="644"/>
      <c r="F34" s="644"/>
      <c r="G34" s="644"/>
      <c r="H34" s="644"/>
      <c r="I34" s="644"/>
      <c r="J34" s="644"/>
      <c r="K34" s="23"/>
      <c r="M34" s="12"/>
      <c r="P34" s="52"/>
    </row>
    <row r="35" spans="6:16" s="1" customFormat="1" ht="12.75">
      <c r="F35" s="77"/>
      <c r="G35" s="77"/>
      <c r="J35" s="23"/>
      <c r="K35" s="23"/>
      <c r="M35" s="12"/>
      <c r="P35" s="52"/>
    </row>
    <row r="36" spans="6:16" s="1" customFormat="1" ht="12.75">
      <c r="F36" s="322"/>
      <c r="G36" s="322"/>
      <c r="J36" s="23"/>
      <c r="K36" s="23"/>
      <c r="M36" s="12"/>
      <c r="P36" s="52"/>
    </row>
    <row r="37" spans="6:16" s="1" customFormat="1" ht="12.75">
      <c r="F37" s="23"/>
      <c r="G37" s="23"/>
      <c r="J37" s="323"/>
      <c r="K37" s="323"/>
      <c r="P37" s="52"/>
    </row>
    <row r="38" spans="6:11" s="1" customFormat="1" ht="11.25">
      <c r="F38" s="23"/>
      <c r="G38" s="23"/>
      <c r="J38" s="23"/>
      <c r="K38" s="23"/>
    </row>
    <row r="39" spans="6:11" s="1" customFormat="1" ht="11.25">
      <c r="F39" s="23"/>
      <c r="G39" s="23"/>
      <c r="J39" s="23"/>
      <c r="K39" s="23"/>
    </row>
    <row r="40" spans="6:11" s="1" customFormat="1" ht="11.25">
      <c r="F40" s="23"/>
      <c r="G40" s="23"/>
      <c r="J40" s="23"/>
      <c r="K40" s="23"/>
    </row>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sheetData>
  <mergeCells count="7">
    <mergeCell ref="C34:J34"/>
    <mergeCell ref="C32:J32"/>
    <mergeCell ref="C33:J33"/>
    <mergeCell ref="A1:N1"/>
    <mergeCell ref="A2:N2"/>
    <mergeCell ref="A3:N3"/>
    <mergeCell ref="A4:N4"/>
  </mergeCells>
  <hyperlinks>
    <hyperlink ref="K73" location="'Loss Reserve Rollforward'!c50" display="'Loss Reserve Rollforward'!c50"/>
    <hyperlink ref="E46" location="'Consol Bal Sheet'!j17" display="'Consol Bal Sheet'!j17"/>
    <hyperlink ref="E73" location="'Loss Reserve Rollforward'!C45" display="'Loss Reserve Rollforward'!C45"/>
  </hyperlinks>
  <printOptions/>
  <pageMargins left="0.5" right="0.5" top="0.5" bottom="0.55" header="0.75" footer="0.3"/>
  <pageSetup horizontalDpi="600" verticalDpi="600" orientation="landscape" r:id="rId2"/>
  <headerFooter alignWithMargins="0">
    <oddFooter>&amp;L&amp;A&amp;R&amp;"Arial,Regular"&amp;8Page 16</oddFooter>
  </headerFooter>
  <drawing r:id="rId1"/>
</worksheet>
</file>

<file path=xl/worksheets/sheet19.xml><?xml version="1.0" encoding="utf-8"?>
<worksheet xmlns="http://schemas.openxmlformats.org/spreadsheetml/2006/main" xmlns:r="http://schemas.openxmlformats.org/officeDocument/2006/relationships">
  <sheetPr codeName="Sheet28"/>
  <dimension ref="A1:AP89"/>
  <sheetViews>
    <sheetView workbookViewId="0" topLeftCell="A1">
      <selection activeCell="A1" sqref="A1:M1"/>
    </sheetView>
  </sheetViews>
  <sheetFormatPr defaultColWidth="9.33203125" defaultRowHeight="12.75"/>
  <cols>
    <col min="1" max="1" width="3.33203125" style="1" customWidth="1"/>
    <col min="2" max="2" width="2.83203125" style="1" customWidth="1"/>
    <col min="3" max="3" width="42.16015625" style="1" customWidth="1"/>
    <col min="4" max="4" width="2.83203125" style="1" customWidth="1"/>
    <col min="5" max="5" width="15.5" style="1" customWidth="1"/>
    <col min="6" max="6" width="2.83203125" style="1" customWidth="1"/>
    <col min="7" max="7" width="15.5" style="1" customWidth="1"/>
    <col min="8" max="8" width="2.83203125" style="1" customWidth="1"/>
    <col min="9" max="9" width="15.33203125" style="1" customWidth="1"/>
    <col min="10" max="10" width="2.83203125" style="1" customWidth="1"/>
    <col min="11" max="11" width="15.5" style="1" customWidth="1"/>
    <col min="12" max="13" width="2.83203125" style="1" customWidth="1"/>
    <col min="14" max="14" width="15.5" style="1" customWidth="1"/>
    <col min="15" max="15" width="2.83203125" style="1" customWidth="1"/>
    <col min="16" max="16" width="15.5" style="1" customWidth="1"/>
    <col min="17" max="18" width="2.83203125" style="1" customWidth="1"/>
    <col min="19" max="19" width="14.83203125" style="1" customWidth="1"/>
    <col min="20" max="22" width="9.5" style="1" customWidth="1"/>
    <col min="23" max="23" width="6.16015625" style="1" customWidth="1"/>
    <col min="24" max="24" width="9.66015625" style="1" customWidth="1"/>
    <col min="25" max="25" width="8.5" style="1" customWidth="1"/>
    <col min="26" max="26" width="9.33203125" style="1" customWidth="1"/>
    <col min="27" max="16384" width="8.16015625" style="1" customWidth="1"/>
  </cols>
  <sheetData>
    <row r="1" spans="1:27" ht="12.75">
      <c r="A1" s="647" t="s">
        <v>89</v>
      </c>
      <c r="B1" s="647"/>
      <c r="C1" s="647"/>
      <c r="D1" s="647"/>
      <c r="E1" s="647"/>
      <c r="F1" s="647"/>
      <c r="G1" s="647"/>
      <c r="H1" s="647"/>
      <c r="I1" s="647"/>
      <c r="J1" s="647"/>
      <c r="K1" s="647"/>
      <c r="L1" s="647"/>
      <c r="M1" s="647"/>
      <c r="N1" s="344"/>
      <c r="O1" s="344"/>
      <c r="P1" s="344"/>
      <c r="Q1" s="344"/>
      <c r="R1" s="344"/>
      <c r="S1" s="344"/>
      <c r="T1" s="87"/>
      <c r="U1" s="87"/>
      <c r="V1" s="87"/>
      <c r="W1" s="87"/>
      <c r="X1" s="87"/>
      <c r="Y1" s="87"/>
      <c r="Z1" s="87"/>
      <c r="AA1" s="87"/>
    </row>
    <row r="2" spans="1:27" ht="12.75" customHeight="1">
      <c r="A2" s="648" t="s">
        <v>192</v>
      </c>
      <c r="B2" s="648"/>
      <c r="C2" s="648"/>
      <c r="D2" s="648"/>
      <c r="E2" s="648"/>
      <c r="F2" s="648"/>
      <c r="G2" s="648"/>
      <c r="H2" s="648"/>
      <c r="I2" s="648"/>
      <c r="J2" s="648"/>
      <c r="K2" s="648"/>
      <c r="L2" s="648"/>
      <c r="M2" s="648"/>
      <c r="N2" s="54"/>
      <c r="O2" s="54"/>
      <c r="P2" s="54"/>
      <c r="Q2" s="54"/>
      <c r="R2" s="54"/>
      <c r="S2" s="54"/>
      <c r="T2" s="87"/>
      <c r="U2" s="87"/>
      <c r="V2" s="87"/>
      <c r="W2" s="87"/>
      <c r="X2" s="87"/>
      <c r="Y2" s="87"/>
      <c r="Z2" s="87"/>
      <c r="AA2" s="87"/>
    </row>
    <row r="3" spans="1:27" ht="12.75" customHeight="1">
      <c r="A3" s="649" t="s">
        <v>147</v>
      </c>
      <c r="B3" s="649"/>
      <c r="C3" s="649"/>
      <c r="D3" s="649"/>
      <c r="E3" s="649"/>
      <c r="F3" s="649"/>
      <c r="G3" s="649"/>
      <c r="H3" s="649"/>
      <c r="I3" s="649"/>
      <c r="J3" s="649"/>
      <c r="K3" s="649"/>
      <c r="L3" s="649"/>
      <c r="M3" s="649"/>
      <c r="N3" s="347"/>
      <c r="O3" s="347"/>
      <c r="P3" s="347"/>
      <c r="Q3" s="347"/>
      <c r="R3" s="347"/>
      <c r="S3" s="347"/>
      <c r="T3" s="87"/>
      <c r="U3" s="87"/>
      <c r="V3" s="87"/>
      <c r="W3" s="87"/>
      <c r="X3" s="87"/>
      <c r="Y3" s="87"/>
      <c r="Z3" s="87"/>
      <c r="AA3" s="87"/>
    </row>
    <row r="4" spans="1:27" ht="12.75" customHeight="1">
      <c r="A4" s="649" t="s">
        <v>163</v>
      </c>
      <c r="B4" s="649"/>
      <c r="C4" s="649"/>
      <c r="D4" s="649"/>
      <c r="E4" s="649"/>
      <c r="F4" s="649"/>
      <c r="G4" s="649"/>
      <c r="H4" s="649"/>
      <c r="I4" s="649"/>
      <c r="J4" s="649"/>
      <c r="K4" s="649"/>
      <c r="L4" s="649"/>
      <c r="M4" s="649"/>
      <c r="N4" s="347"/>
      <c r="O4" s="347"/>
      <c r="P4" s="347"/>
      <c r="Q4" s="347"/>
      <c r="R4" s="347"/>
      <c r="S4" s="347"/>
      <c r="T4" s="87"/>
      <c r="U4" s="87"/>
      <c r="V4" s="87"/>
      <c r="W4" s="87"/>
      <c r="X4" s="87"/>
      <c r="Y4" s="87"/>
      <c r="Z4" s="87"/>
      <c r="AA4" s="87"/>
    </row>
    <row r="5" spans="3:18" ht="7.5" customHeight="1">
      <c r="C5" s="501"/>
      <c r="D5" s="501"/>
      <c r="E5" s="501"/>
      <c r="F5" s="501"/>
      <c r="G5" s="501"/>
      <c r="K5" s="7"/>
      <c r="L5" s="7"/>
      <c r="M5" s="7"/>
      <c r="N5" s="7"/>
      <c r="O5" s="7"/>
      <c r="P5" s="7"/>
      <c r="Q5" s="7"/>
      <c r="R5" s="7"/>
    </row>
    <row r="6" spans="3:21" ht="12" customHeight="1">
      <c r="C6" s="197"/>
      <c r="D6" s="197"/>
      <c r="E6" s="268" t="s">
        <v>353</v>
      </c>
      <c r="F6" s="268"/>
      <c r="G6" s="268" t="s">
        <v>420</v>
      </c>
      <c r="H6" s="197"/>
      <c r="I6" s="268" t="s">
        <v>208</v>
      </c>
      <c r="J6" s="197"/>
      <c r="K6" s="268" t="s">
        <v>207</v>
      </c>
      <c r="L6" s="539"/>
      <c r="M6" s="268"/>
      <c r="N6" s="539"/>
      <c r="O6" s="268"/>
      <c r="P6" s="268"/>
      <c r="Q6" s="268"/>
      <c r="R6" s="268"/>
      <c r="S6"/>
      <c r="T6"/>
      <c r="U6"/>
    </row>
    <row r="7" spans="5:21" ht="12" customHeight="1">
      <c r="E7" s="195">
        <v>2007</v>
      </c>
      <c r="F7" s="488"/>
      <c r="G7" s="195">
        <v>2007</v>
      </c>
      <c r="I7" s="195">
        <v>2007</v>
      </c>
      <c r="K7" s="195">
        <v>2006</v>
      </c>
      <c r="L7" s="7"/>
      <c r="M7" s="488"/>
      <c r="N7" s="328"/>
      <c r="O7" s="159"/>
      <c r="P7" s="488"/>
      <c r="Q7" s="159"/>
      <c r="R7" s="488"/>
      <c r="S7"/>
      <c r="T7"/>
      <c r="U7"/>
    </row>
    <row r="8" spans="3:21" ht="12" customHeight="1">
      <c r="C8" s="178" t="s">
        <v>224</v>
      </c>
      <c r="D8" s="178"/>
      <c r="E8" s="42"/>
      <c r="F8" s="42"/>
      <c r="G8" s="42"/>
      <c r="H8" s="178"/>
      <c r="I8" s="42"/>
      <c r="J8" s="178"/>
      <c r="K8" s="42"/>
      <c r="L8" s="328"/>
      <c r="M8" s="75"/>
      <c r="N8" s="75"/>
      <c r="O8" s="159"/>
      <c r="P8" s="121"/>
      <c r="Q8" s="159"/>
      <c r="R8" s="121"/>
      <c r="S8"/>
      <c r="T8"/>
      <c r="U8"/>
    </row>
    <row r="9" spans="3:21" ht="12" customHeight="1">
      <c r="C9" s="1" t="s">
        <v>285</v>
      </c>
      <c r="E9" s="31">
        <f>+'Consol Bal Sheet'!E9</f>
        <v>32632</v>
      </c>
      <c r="F9" s="31"/>
      <c r="G9" s="31">
        <v>30591</v>
      </c>
      <c r="I9" s="31">
        <v>29934</v>
      </c>
      <c r="K9" s="31">
        <v>28540</v>
      </c>
      <c r="L9" s="7"/>
      <c r="M9" s="32"/>
      <c r="N9" s="7"/>
      <c r="O9" s="406"/>
      <c r="P9" s="32"/>
      <c r="Q9" s="406"/>
      <c r="R9" s="32"/>
      <c r="S9"/>
      <c r="T9"/>
      <c r="U9"/>
    </row>
    <row r="10" spans="3:21" ht="12" customHeight="1">
      <c r="C10" s="1" t="s">
        <v>286</v>
      </c>
      <c r="E10" s="63">
        <v>2966</v>
      </c>
      <c r="F10" s="63"/>
      <c r="G10" s="63">
        <v>2957</v>
      </c>
      <c r="I10" s="63">
        <v>3039</v>
      </c>
      <c r="K10" s="63">
        <v>3015</v>
      </c>
      <c r="L10" s="7"/>
      <c r="M10" s="38"/>
      <c r="N10" s="7"/>
      <c r="O10" s="406"/>
      <c r="P10" s="38"/>
      <c r="Q10" s="406"/>
      <c r="R10" s="53"/>
      <c r="S10"/>
      <c r="T10"/>
      <c r="U10"/>
    </row>
    <row r="11" spans="3:21" ht="12" customHeight="1">
      <c r="C11" s="1" t="s">
        <v>85</v>
      </c>
      <c r="E11" s="63">
        <f>+'Consol Bal Sheet'!E12</f>
        <v>2940</v>
      </c>
      <c r="F11" s="63"/>
      <c r="G11" s="63">
        <v>2919</v>
      </c>
      <c r="I11" s="63">
        <v>2658</v>
      </c>
      <c r="K11" s="63">
        <v>2456</v>
      </c>
      <c r="L11" s="7"/>
      <c r="M11" s="38"/>
      <c r="N11" s="7"/>
      <c r="O11" s="406"/>
      <c r="P11" s="38"/>
      <c r="Q11" s="406"/>
      <c r="R11" s="38"/>
      <c r="S11"/>
      <c r="T11"/>
      <c r="U11"/>
    </row>
    <row r="12" spans="3:21" ht="12.75" customHeight="1" thickBot="1">
      <c r="C12" s="171" t="s">
        <v>59</v>
      </c>
      <c r="D12" s="171"/>
      <c r="E12" s="193">
        <f>SUM(E9:E11)</f>
        <v>38538</v>
      </c>
      <c r="F12" s="213"/>
      <c r="G12" s="193">
        <f>SUM(G9:G11)</f>
        <v>36467</v>
      </c>
      <c r="H12" s="171"/>
      <c r="I12" s="193">
        <f>SUM(I9:I11)</f>
        <v>35631</v>
      </c>
      <c r="J12" s="171"/>
      <c r="K12" s="193">
        <f>SUM(K9:K11)</f>
        <v>34011</v>
      </c>
      <c r="L12" s="180"/>
      <c r="M12" s="213"/>
      <c r="N12" s="180"/>
      <c r="O12" s="406"/>
      <c r="P12" s="213"/>
      <c r="Q12" s="406"/>
      <c r="R12" s="213"/>
      <c r="S12"/>
      <c r="T12"/>
      <c r="U12"/>
    </row>
    <row r="13" spans="5:21" ht="4.5" customHeight="1" thickTop="1">
      <c r="E13" s="42"/>
      <c r="F13" s="42"/>
      <c r="G13" s="42"/>
      <c r="I13" s="42"/>
      <c r="K13" s="42"/>
      <c r="L13" s="7"/>
      <c r="M13" s="75"/>
      <c r="N13" s="7"/>
      <c r="O13" s="406"/>
      <c r="P13" s="75"/>
      <c r="Q13" s="406"/>
      <c r="R13" s="32"/>
      <c r="S13"/>
      <c r="T13"/>
      <c r="U13"/>
    </row>
    <row r="14" spans="3:42" ht="12" customHeight="1">
      <c r="C14" s="178" t="s">
        <v>137</v>
      </c>
      <c r="D14" s="178"/>
      <c r="E14" s="225"/>
      <c r="F14" s="225"/>
      <c r="G14" s="225"/>
      <c r="H14" s="178"/>
      <c r="I14" s="225"/>
      <c r="J14" s="178"/>
      <c r="K14" s="225"/>
      <c r="L14" s="328"/>
      <c r="M14" s="329"/>
      <c r="N14" s="328"/>
      <c r="O14" s="406"/>
      <c r="P14" s="329"/>
      <c r="Q14" s="406"/>
      <c r="R14" s="406"/>
      <c r="S14"/>
      <c r="T14"/>
      <c r="U14"/>
      <c r="AF14" s="52"/>
      <c r="AG14" s="52"/>
      <c r="AH14" s="52"/>
      <c r="AI14" s="52"/>
      <c r="AJ14" s="52"/>
      <c r="AK14" s="52"/>
      <c r="AL14" s="52"/>
      <c r="AM14" s="52"/>
      <c r="AN14" s="52"/>
      <c r="AO14" s="52"/>
      <c r="AP14" s="52"/>
    </row>
    <row r="15" spans="3:42" ht="12" customHeight="1">
      <c r="C15" s="1" t="s">
        <v>60</v>
      </c>
      <c r="E15" s="31">
        <v>1208</v>
      </c>
      <c r="F15" s="31"/>
      <c r="G15" s="31">
        <v>1587</v>
      </c>
      <c r="I15" s="31">
        <v>1689</v>
      </c>
      <c r="K15" s="31">
        <v>1322</v>
      </c>
      <c r="L15" s="7"/>
      <c r="M15" s="399"/>
      <c r="N15" s="7"/>
      <c r="O15" s="406"/>
      <c r="P15" s="32"/>
      <c r="Q15" s="406"/>
      <c r="R15" s="32"/>
      <c r="S15"/>
      <c r="T15"/>
      <c r="X15" s="582">
        <f aca="true" t="shared" si="0" ref="X15:X22">ROUND(+E15/$E$23,2)</f>
        <v>0.03</v>
      </c>
      <c r="AA15" s="41"/>
      <c r="AB15" s="41"/>
      <c r="AF15" s="52"/>
      <c r="AG15" s="52"/>
      <c r="AH15" s="52"/>
      <c r="AI15" s="52"/>
      <c r="AJ15" s="52"/>
      <c r="AK15" s="52"/>
      <c r="AL15" s="52"/>
      <c r="AM15" s="52"/>
      <c r="AN15" s="52"/>
      <c r="AO15" s="52"/>
      <c r="AP15" s="52"/>
    </row>
    <row r="16" spans="3:42" ht="12" customHeight="1">
      <c r="C16" s="1" t="s">
        <v>61</v>
      </c>
      <c r="E16" s="63">
        <v>1901</v>
      </c>
      <c r="F16" s="63"/>
      <c r="G16" s="63">
        <v>2117</v>
      </c>
      <c r="I16" s="63">
        <v>2223</v>
      </c>
      <c r="K16" s="63">
        <v>2207</v>
      </c>
      <c r="L16" s="7"/>
      <c r="M16" s="399"/>
      <c r="N16" s="7"/>
      <c r="O16" s="406"/>
      <c r="P16" s="85"/>
      <c r="Q16" s="406"/>
      <c r="R16" s="38"/>
      <c r="S16"/>
      <c r="T16"/>
      <c r="X16" s="582">
        <f t="shared" si="0"/>
        <v>0.05</v>
      </c>
      <c r="AA16" s="41"/>
      <c r="AB16" s="41"/>
      <c r="AF16" s="52"/>
      <c r="AG16" s="52"/>
      <c r="AH16" s="52"/>
      <c r="AI16" s="52"/>
      <c r="AJ16" s="52"/>
      <c r="AK16" s="52"/>
      <c r="AL16" s="52"/>
      <c r="AM16" s="52"/>
      <c r="AN16" s="52"/>
      <c r="AO16" s="52"/>
      <c r="AP16" s="52"/>
    </row>
    <row r="17" spans="3:42" ht="12" customHeight="1">
      <c r="C17" s="1" t="s">
        <v>62</v>
      </c>
      <c r="E17" s="63">
        <v>8579</v>
      </c>
      <c r="F17" s="63"/>
      <c r="G17" s="63">
        <v>7643</v>
      </c>
      <c r="I17" s="63">
        <v>7473</v>
      </c>
      <c r="K17" s="63">
        <v>7394</v>
      </c>
      <c r="L17" s="7"/>
      <c r="M17" s="399"/>
      <c r="N17" s="7"/>
      <c r="O17" s="406"/>
      <c r="P17" s="85"/>
      <c r="Q17" s="406"/>
      <c r="R17" s="38"/>
      <c r="S17"/>
      <c r="T17"/>
      <c r="X17" s="582">
        <f t="shared" si="0"/>
        <v>0.22</v>
      </c>
      <c r="AA17" s="41"/>
      <c r="AB17" s="41"/>
      <c r="AF17" s="52"/>
      <c r="AG17" s="52"/>
      <c r="AH17" s="52"/>
      <c r="AI17" s="52"/>
      <c r="AJ17" s="52"/>
      <c r="AK17" s="52"/>
      <c r="AL17" s="52"/>
      <c r="AM17" s="52"/>
      <c r="AN17" s="52"/>
      <c r="AO17" s="52"/>
      <c r="AP17" s="52"/>
    </row>
    <row r="18" spans="3:42" ht="12" customHeight="1">
      <c r="C18" s="1" t="s">
        <v>63</v>
      </c>
      <c r="E18" s="63">
        <v>13542</v>
      </c>
      <c r="F18" s="63"/>
      <c r="G18" s="63">
        <v>12338</v>
      </c>
      <c r="I18" s="63">
        <v>11925</v>
      </c>
      <c r="K18" s="63">
        <v>11346</v>
      </c>
      <c r="L18" s="7"/>
      <c r="M18" s="399"/>
      <c r="N18" s="7"/>
      <c r="O18" s="406"/>
      <c r="P18" s="85"/>
      <c r="Q18" s="406"/>
      <c r="R18" s="38"/>
      <c r="S18"/>
      <c r="T18"/>
      <c r="X18" s="582">
        <f t="shared" si="0"/>
        <v>0.35</v>
      </c>
      <c r="AA18" s="41"/>
      <c r="AB18" s="41"/>
      <c r="AF18" s="52"/>
      <c r="AG18" s="52"/>
      <c r="AH18" s="52"/>
      <c r="AI18" s="52"/>
      <c r="AJ18" s="52"/>
      <c r="AK18" s="52"/>
      <c r="AL18" s="52"/>
      <c r="AM18" s="52"/>
      <c r="AN18" s="52"/>
      <c r="AO18" s="52"/>
      <c r="AP18" s="52"/>
    </row>
    <row r="19" spans="3:42" ht="12" customHeight="1">
      <c r="C19" s="1" t="s">
        <v>64</v>
      </c>
      <c r="E19" s="63">
        <v>1377</v>
      </c>
      <c r="F19" s="63"/>
      <c r="G19" s="63">
        <v>1611</v>
      </c>
      <c r="I19" s="63">
        <v>1772</v>
      </c>
      <c r="K19" s="63">
        <v>2020</v>
      </c>
      <c r="L19" s="7"/>
      <c r="M19" s="399"/>
      <c r="N19" s="7"/>
      <c r="O19" s="406"/>
      <c r="P19" s="85"/>
      <c r="Q19" s="406"/>
      <c r="R19" s="38"/>
      <c r="S19"/>
      <c r="T19"/>
      <c r="X19" s="582">
        <f t="shared" si="0"/>
        <v>0.04</v>
      </c>
      <c r="AA19" s="41"/>
      <c r="AB19" s="41"/>
      <c r="AF19" s="52"/>
      <c r="AG19" s="52"/>
      <c r="AH19" s="52"/>
      <c r="AI19" s="52"/>
      <c r="AJ19" s="52"/>
      <c r="AK19" s="52"/>
      <c r="AL19" s="52"/>
      <c r="AM19" s="52"/>
      <c r="AN19" s="52"/>
      <c r="AO19" s="52"/>
      <c r="AP19" s="52"/>
    </row>
    <row r="20" spans="3:42" ht="12" customHeight="1">
      <c r="C20" s="1" t="s">
        <v>65</v>
      </c>
      <c r="E20" s="63">
        <v>1603</v>
      </c>
      <c r="F20" s="63"/>
      <c r="G20" s="63">
        <v>1367</v>
      </c>
      <c r="I20" s="63">
        <v>1157</v>
      </c>
      <c r="K20" s="63">
        <v>809</v>
      </c>
      <c r="L20" s="7"/>
      <c r="M20" s="399"/>
      <c r="N20" s="7"/>
      <c r="O20" s="406"/>
      <c r="P20" s="85"/>
      <c r="Q20" s="406"/>
      <c r="R20" s="38"/>
      <c r="S20"/>
      <c r="T20"/>
      <c r="X20" s="582">
        <f t="shared" si="0"/>
        <v>0.04</v>
      </c>
      <c r="AA20" s="41"/>
      <c r="AB20" s="41"/>
      <c r="AF20" s="52"/>
      <c r="AG20" s="52"/>
      <c r="AH20" s="52"/>
      <c r="AI20" s="52"/>
      <c r="AJ20" s="52"/>
      <c r="AK20" s="52"/>
      <c r="AL20" s="52"/>
      <c r="AM20" s="52"/>
      <c r="AN20" s="52"/>
      <c r="AO20" s="52"/>
      <c r="AP20" s="52"/>
    </row>
    <row r="21" spans="3:42" ht="12" customHeight="1">
      <c r="C21" s="1" t="s">
        <v>377</v>
      </c>
      <c r="E21" s="63">
        <v>7388</v>
      </c>
      <c r="F21" s="63"/>
      <c r="G21" s="63">
        <v>6885</v>
      </c>
      <c r="I21" s="63">
        <v>6734</v>
      </c>
      <c r="K21" s="63">
        <v>6457</v>
      </c>
      <c r="L21" s="7"/>
      <c r="M21" s="399"/>
      <c r="N21" s="7"/>
      <c r="O21" s="406"/>
      <c r="P21" s="85"/>
      <c r="Q21" s="406"/>
      <c r="R21" s="38"/>
      <c r="S21"/>
      <c r="T21"/>
      <c r="X21" s="582">
        <f t="shared" si="0"/>
        <v>0.19</v>
      </c>
      <c r="AA21" s="41"/>
      <c r="AB21" s="41"/>
      <c r="AF21" s="52"/>
      <c r="AG21" s="52"/>
      <c r="AH21" s="52"/>
      <c r="AI21" s="52"/>
      <c r="AJ21" s="52"/>
      <c r="AK21" s="52"/>
      <c r="AL21" s="52"/>
      <c r="AM21" s="52"/>
      <c r="AN21" s="52"/>
      <c r="AO21" s="52"/>
      <c r="AP21" s="52"/>
    </row>
    <row r="22" spans="3:42" ht="12" customHeight="1">
      <c r="C22" s="1" t="s">
        <v>85</v>
      </c>
      <c r="E22" s="63">
        <v>2940</v>
      </c>
      <c r="F22" s="63"/>
      <c r="G22" s="63">
        <v>2918.987</v>
      </c>
      <c r="I22" s="63">
        <f>I11</f>
        <v>2658</v>
      </c>
      <c r="K22" s="63">
        <v>2456</v>
      </c>
      <c r="L22" s="7"/>
      <c r="M22" s="399"/>
      <c r="N22" s="7"/>
      <c r="O22" s="406"/>
      <c r="P22" s="85"/>
      <c r="Q22" s="406"/>
      <c r="R22" s="38"/>
      <c r="S22"/>
      <c r="T22"/>
      <c r="X22" s="582">
        <f t="shared" si="0"/>
        <v>0.08</v>
      </c>
      <c r="AA22" s="41"/>
      <c r="AB22" s="41"/>
      <c r="AF22" s="52"/>
      <c r="AG22" s="52"/>
      <c r="AH22" s="52"/>
      <c r="AI22" s="52"/>
      <c r="AJ22" s="52"/>
      <c r="AK22" s="52"/>
      <c r="AL22" s="52"/>
      <c r="AM22" s="52"/>
      <c r="AN22" s="52"/>
      <c r="AO22" s="52"/>
      <c r="AP22" s="52"/>
    </row>
    <row r="23" spans="3:42" ht="12.75" customHeight="1" thickBot="1">
      <c r="C23" s="171" t="s">
        <v>59</v>
      </c>
      <c r="D23" s="171"/>
      <c r="E23" s="193">
        <f>+SUM(E15:E22)</f>
        <v>38538</v>
      </c>
      <c r="F23" s="213"/>
      <c r="G23" s="193">
        <f>+SUM(G15:G22)</f>
        <v>36466.987</v>
      </c>
      <c r="H23" s="171"/>
      <c r="I23" s="193">
        <f>+SUM(I15:I22)</f>
        <v>35631</v>
      </c>
      <c r="J23" s="171"/>
      <c r="K23" s="193">
        <f>+SUM(K15:K22)</f>
        <v>34011</v>
      </c>
      <c r="L23" s="180"/>
      <c r="M23" s="399"/>
      <c r="N23" s="180"/>
      <c r="O23" s="406"/>
      <c r="P23" s="213"/>
      <c r="Q23" s="406"/>
      <c r="R23" s="213"/>
      <c r="S23"/>
      <c r="T23"/>
      <c r="X23" s="583">
        <f>SUM(X15:X22)</f>
        <v>0.9999999999999999</v>
      </c>
      <c r="AA23" s="41"/>
      <c r="AB23" s="41"/>
      <c r="AF23" s="52"/>
      <c r="AG23" s="52"/>
      <c r="AH23" s="52"/>
      <c r="AI23" s="52"/>
      <c r="AJ23" s="52"/>
      <c r="AK23" s="52"/>
      <c r="AL23" s="52"/>
      <c r="AM23" s="52"/>
      <c r="AN23" s="52"/>
      <c r="AO23" s="52"/>
      <c r="AP23" s="52"/>
    </row>
    <row r="24" spans="5:24" ht="3.75" customHeight="1" thickTop="1">
      <c r="E24" s="63"/>
      <c r="F24" s="63"/>
      <c r="G24" s="63"/>
      <c r="I24" s="63"/>
      <c r="K24" s="63"/>
      <c r="L24" s="7"/>
      <c r="M24" s="38"/>
      <c r="N24" s="7"/>
      <c r="O24" s="406"/>
      <c r="P24" s="75"/>
      <c r="Q24" s="406"/>
      <c r="R24" s="75"/>
      <c r="S24"/>
      <c r="T24"/>
      <c r="V24" s="42"/>
      <c r="W24" s="42"/>
      <c r="X24"/>
    </row>
    <row r="25" spans="3:24" ht="12" customHeight="1">
      <c r="C25" s="178" t="s">
        <v>10</v>
      </c>
      <c r="D25" s="178"/>
      <c r="E25" s="391"/>
      <c r="F25" s="391"/>
      <c r="G25" s="391"/>
      <c r="H25" s="178"/>
      <c r="I25" s="391"/>
      <c r="J25" s="178"/>
      <c r="K25" s="391"/>
      <c r="L25" s="328"/>
      <c r="M25" s="540"/>
      <c r="N25" s="328"/>
      <c r="O25" s="406"/>
      <c r="P25" s="329"/>
      <c r="Q25" s="406"/>
      <c r="R25" s="406"/>
      <c r="S25"/>
      <c r="T25"/>
      <c r="X25"/>
    </row>
    <row r="26" spans="3:28" ht="12" customHeight="1">
      <c r="C26" s="1" t="s">
        <v>142</v>
      </c>
      <c r="E26" s="31">
        <v>25239</v>
      </c>
      <c r="F26" s="31"/>
      <c r="G26" s="31">
        <v>24121</v>
      </c>
      <c r="I26" s="31">
        <v>23783</v>
      </c>
      <c r="K26" s="31">
        <v>22471</v>
      </c>
      <c r="L26" s="7"/>
      <c r="M26" s="399"/>
      <c r="N26" s="7"/>
      <c r="O26" s="406"/>
      <c r="P26" s="32"/>
      <c r="Q26" s="406"/>
      <c r="R26" s="248"/>
      <c r="S26"/>
      <c r="T26"/>
      <c r="X26" s="581">
        <f aca="true" t="shared" si="1" ref="X26:X32">ROUND(+E26/$E$33,3)</f>
        <v>0.655</v>
      </c>
      <c r="AA26" s="41"/>
      <c r="AB26" s="41"/>
    </row>
    <row r="27" spans="3:28" ht="12" customHeight="1">
      <c r="C27" s="1" t="s">
        <v>143</v>
      </c>
      <c r="E27" s="63">
        <v>3416</v>
      </c>
      <c r="F27" s="63"/>
      <c r="G27" s="63">
        <v>3178</v>
      </c>
      <c r="I27" s="63">
        <v>3095</v>
      </c>
      <c r="K27" s="63">
        <v>2725</v>
      </c>
      <c r="L27" s="7"/>
      <c r="M27" s="399"/>
      <c r="N27" s="7"/>
      <c r="O27" s="406"/>
      <c r="P27" s="85"/>
      <c r="Q27" s="406"/>
      <c r="R27" s="336"/>
      <c r="S27"/>
      <c r="T27"/>
      <c r="X27" s="581">
        <f t="shared" si="1"/>
        <v>0.089</v>
      </c>
      <c r="AA27" s="41"/>
      <c r="AB27" s="41"/>
    </row>
    <row r="28" spans="3:28" ht="12" customHeight="1">
      <c r="C28" s="1" t="s">
        <v>144</v>
      </c>
      <c r="E28" s="63">
        <v>4059</v>
      </c>
      <c r="F28" s="63"/>
      <c r="G28" s="63">
        <v>3902</v>
      </c>
      <c r="I28" s="63">
        <v>3582</v>
      </c>
      <c r="K28" s="63">
        <v>3909</v>
      </c>
      <c r="L28" s="7"/>
      <c r="M28" s="399"/>
      <c r="N28" s="7"/>
      <c r="O28" s="406"/>
      <c r="P28" s="85"/>
      <c r="Q28" s="406"/>
      <c r="R28" s="336"/>
      <c r="S28"/>
      <c r="T28"/>
      <c r="X28" s="581">
        <f t="shared" si="1"/>
        <v>0.105</v>
      </c>
      <c r="AA28" s="41"/>
      <c r="AB28" s="41"/>
    </row>
    <row r="29" spans="3:28" ht="12" customHeight="1">
      <c r="C29" s="1" t="s">
        <v>145</v>
      </c>
      <c r="E29" s="63">
        <v>3171</v>
      </c>
      <c r="F29" s="63"/>
      <c r="G29" s="63">
        <v>2841</v>
      </c>
      <c r="I29" s="63">
        <v>2610</v>
      </c>
      <c r="K29" s="63">
        <v>2498</v>
      </c>
      <c r="L29" s="7"/>
      <c r="M29" s="399"/>
      <c r="N29" s="7"/>
      <c r="O29" s="406"/>
      <c r="P29" s="85"/>
      <c r="Q29" s="406"/>
      <c r="R29" s="336"/>
      <c r="S29"/>
      <c r="T29"/>
      <c r="X29" s="581">
        <f t="shared" si="1"/>
        <v>0.082</v>
      </c>
      <c r="AA29" s="41"/>
      <c r="AB29" s="41"/>
    </row>
    <row r="30" spans="3:28" ht="12" customHeight="1">
      <c r="C30" s="1" t="s">
        <v>83</v>
      </c>
      <c r="E30" s="63">
        <v>1121</v>
      </c>
      <c r="F30" s="63"/>
      <c r="G30" s="63">
        <v>948</v>
      </c>
      <c r="I30" s="63">
        <v>992</v>
      </c>
      <c r="K30" s="63">
        <v>943</v>
      </c>
      <c r="L30" s="7"/>
      <c r="M30" s="399"/>
      <c r="N30" s="7"/>
      <c r="O30" s="406"/>
      <c r="P30" s="85"/>
      <c r="Q30" s="406"/>
      <c r="R30" s="336"/>
      <c r="S30"/>
      <c r="T30"/>
      <c r="X30" s="581">
        <f t="shared" si="1"/>
        <v>0.029</v>
      </c>
      <c r="AA30" s="41"/>
      <c r="AB30" s="41"/>
    </row>
    <row r="31" spans="3:28" ht="12" customHeight="1">
      <c r="C31" s="1" t="s">
        <v>146</v>
      </c>
      <c r="E31" s="63">
        <v>1437</v>
      </c>
      <c r="F31" s="63"/>
      <c r="G31" s="63">
        <v>1376</v>
      </c>
      <c r="I31" s="63">
        <v>1475</v>
      </c>
      <c r="K31" s="63">
        <v>1365</v>
      </c>
      <c r="L31" s="7"/>
      <c r="M31" s="399"/>
      <c r="N31" s="7"/>
      <c r="O31" s="406"/>
      <c r="P31" s="85"/>
      <c r="Q31" s="406"/>
      <c r="R31" s="336"/>
      <c r="S31"/>
      <c r="T31"/>
      <c r="X31" s="581">
        <f t="shared" si="1"/>
        <v>0.037</v>
      </c>
      <c r="AA31" s="41"/>
      <c r="AB31" s="41"/>
    </row>
    <row r="32" spans="3:28" ht="12" customHeight="1">
      <c r="C32" s="1" t="s">
        <v>141</v>
      </c>
      <c r="E32" s="63">
        <v>95</v>
      </c>
      <c r="F32" s="63"/>
      <c r="G32" s="63">
        <v>101</v>
      </c>
      <c r="I32" s="63">
        <v>94</v>
      </c>
      <c r="K32" s="63">
        <v>100</v>
      </c>
      <c r="L32" s="7"/>
      <c r="M32" s="399"/>
      <c r="N32" s="7"/>
      <c r="O32" s="406"/>
      <c r="P32" s="85"/>
      <c r="Q32" s="406"/>
      <c r="R32" s="336"/>
      <c r="S32"/>
      <c r="T32"/>
      <c r="X32" s="581">
        <f t="shared" si="1"/>
        <v>0.002</v>
      </c>
      <c r="AA32" s="41"/>
      <c r="AB32" s="41"/>
    </row>
    <row r="33" spans="3:28" ht="12.75" customHeight="1" thickBot="1">
      <c r="C33" s="171" t="s">
        <v>177</v>
      </c>
      <c r="D33" s="171"/>
      <c r="E33" s="211">
        <f>+SUM(E26:E32)</f>
        <v>38538</v>
      </c>
      <c r="F33" s="212"/>
      <c r="G33" s="211">
        <f>+SUM(G26:G32)</f>
        <v>36467</v>
      </c>
      <c r="H33" s="171"/>
      <c r="I33" s="211">
        <f>+SUM(I26:I32)</f>
        <v>35631</v>
      </c>
      <c r="J33" s="171"/>
      <c r="K33" s="211">
        <f>+SUM(K26:K32)</f>
        <v>34011</v>
      </c>
      <c r="L33" s="180"/>
      <c r="M33" s="212"/>
      <c r="N33" s="180"/>
      <c r="O33" s="406"/>
      <c r="P33" s="212"/>
      <c r="Q33" s="406"/>
      <c r="R33" s="212"/>
      <c r="S33"/>
      <c r="T33"/>
      <c r="X33" s="583">
        <f>SUM(X26:X32)</f>
        <v>0.999</v>
      </c>
      <c r="AA33" s="41"/>
      <c r="AB33" s="41"/>
    </row>
    <row r="34" spans="5:21" ht="5.25" customHeight="1" thickTop="1">
      <c r="E34" s="42"/>
      <c r="F34" s="42"/>
      <c r="G34" s="42"/>
      <c r="I34" s="42"/>
      <c r="K34" s="42"/>
      <c r="L34" s="7"/>
      <c r="M34" s="75"/>
      <c r="N34" s="7"/>
      <c r="O34" s="406"/>
      <c r="P34" s="75"/>
      <c r="Q34" s="406"/>
      <c r="R34" s="75"/>
      <c r="S34"/>
      <c r="T34"/>
      <c r="U34"/>
    </row>
    <row r="35" spans="3:21" ht="12" customHeight="1">
      <c r="C35" s="194" t="s">
        <v>242</v>
      </c>
      <c r="D35" s="194"/>
      <c r="E35" s="358"/>
      <c r="F35" s="358"/>
      <c r="G35" s="358"/>
      <c r="H35" s="194"/>
      <c r="I35" s="358"/>
      <c r="J35" s="194"/>
      <c r="K35" s="358"/>
      <c r="L35" s="541"/>
      <c r="M35" s="489"/>
      <c r="N35" s="541"/>
      <c r="O35" s="406"/>
      <c r="P35" s="489"/>
      <c r="Q35" s="406"/>
      <c r="R35" s="406"/>
      <c r="S35"/>
      <c r="T35"/>
      <c r="U35"/>
    </row>
    <row r="36" spans="3:24" ht="12" customHeight="1">
      <c r="C36" s="1" t="s">
        <v>285</v>
      </c>
      <c r="E36" s="31">
        <v>32619</v>
      </c>
      <c r="F36" s="31"/>
      <c r="G36" s="31">
        <v>30847</v>
      </c>
      <c r="I36" s="31">
        <v>29723</v>
      </c>
      <c r="K36" s="31">
        <v>28389</v>
      </c>
      <c r="L36" s="7"/>
      <c r="M36" s="32"/>
      <c r="N36" s="75"/>
      <c r="O36" s="406"/>
      <c r="P36" s="32"/>
      <c r="Q36" s="406"/>
      <c r="R36" s="32"/>
      <c r="S36"/>
      <c r="T36"/>
      <c r="U36"/>
      <c r="V36"/>
      <c r="W36"/>
      <c r="X36"/>
    </row>
    <row r="37" spans="3:24" ht="12" customHeight="1">
      <c r="C37" s="1" t="s">
        <v>286</v>
      </c>
      <c r="E37" s="63">
        <f>+'Consol Bal Sheet'!E10</f>
        <v>2979</v>
      </c>
      <c r="F37" s="63"/>
      <c r="G37" s="63">
        <v>3013</v>
      </c>
      <c r="I37" s="63">
        <v>3060</v>
      </c>
      <c r="K37" s="63">
        <v>3047</v>
      </c>
      <c r="L37" s="7"/>
      <c r="M37" s="38"/>
      <c r="N37" s="75"/>
      <c r="O37" s="406"/>
      <c r="P37" s="38"/>
      <c r="Q37" s="406"/>
      <c r="R37" s="53"/>
      <c r="S37"/>
      <c r="T37"/>
      <c r="U37"/>
      <c r="V37"/>
      <c r="W37"/>
      <c r="X37"/>
    </row>
    <row r="38" spans="3:24" ht="12" customHeight="1">
      <c r="C38" s="42" t="s">
        <v>85</v>
      </c>
      <c r="D38" s="42"/>
      <c r="E38" s="227">
        <f>+E11</f>
        <v>2940</v>
      </c>
      <c r="F38" s="38"/>
      <c r="G38" s="227">
        <v>2919</v>
      </c>
      <c r="H38" s="42"/>
      <c r="I38" s="227">
        <v>2658</v>
      </c>
      <c r="J38" s="42"/>
      <c r="K38" s="227">
        <v>2456</v>
      </c>
      <c r="L38" s="75"/>
      <c r="M38" s="38"/>
      <c r="N38" s="75"/>
      <c r="O38" s="406"/>
      <c r="P38" s="85"/>
      <c r="Q38" s="406"/>
      <c r="R38" s="38"/>
      <c r="S38"/>
      <c r="T38"/>
      <c r="U38"/>
      <c r="V38"/>
      <c r="W38"/>
      <c r="X38"/>
    </row>
    <row r="39" spans="3:21" ht="12" customHeight="1">
      <c r="C39" s="171" t="s">
        <v>225</v>
      </c>
      <c r="D39" s="171"/>
      <c r="E39" s="223">
        <f>+SUM(E36:E38)</f>
        <v>38538</v>
      </c>
      <c r="F39" s="223"/>
      <c r="G39" s="223">
        <f>+SUM(G36:G38)</f>
        <v>36779</v>
      </c>
      <c r="H39" s="171"/>
      <c r="I39" s="223">
        <f>+SUM(I36:I38)</f>
        <v>35441</v>
      </c>
      <c r="J39" s="171"/>
      <c r="K39" s="223">
        <f>+SUM(K36:K38)</f>
        <v>33892</v>
      </c>
      <c r="L39" s="180"/>
      <c r="M39" s="217"/>
      <c r="N39" s="180"/>
      <c r="O39" s="406"/>
      <c r="P39" s="356"/>
      <c r="Q39" s="406"/>
      <c r="R39" s="356"/>
      <c r="S39"/>
      <c r="T39"/>
      <c r="U39"/>
    </row>
    <row r="40" spans="3:21" ht="12" customHeight="1">
      <c r="C40" s="42" t="s">
        <v>79</v>
      </c>
      <c r="D40" s="42"/>
      <c r="E40" s="63">
        <v>1540</v>
      </c>
      <c r="F40" s="63"/>
      <c r="G40" s="63">
        <v>1522</v>
      </c>
      <c r="H40" s="42"/>
      <c r="I40" s="63">
        <v>1432</v>
      </c>
      <c r="J40" s="42"/>
      <c r="K40" s="63">
        <v>1372</v>
      </c>
      <c r="L40" s="75"/>
      <c r="M40" s="38"/>
      <c r="N40" s="75"/>
      <c r="O40" s="406"/>
      <c r="P40" s="85"/>
      <c r="Q40" s="406"/>
      <c r="R40" s="38"/>
      <c r="S40"/>
      <c r="T40"/>
      <c r="U40"/>
    </row>
    <row r="41" spans="3:21" ht="12" customHeight="1">
      <c r="C41" s="42" t="s">
        <v>199</v>
      </c>
      <c r="D41" s="42"/>
      <c r="E41" s="227">
        <v>812</v>
      </c>
      <c r="F41" s="38"/>
      <c r="G41" s="227">
        <v>749</v>
      </c>
      <c r="H41" s="42"/>
      <c r="I41" s="227">
        <v>687</v>
      </c>
      <c r="J41" s="42"/>
      <c r="K41" s="227">
        <v>661</v>
      </c>
      <c r="L41" s="75"/>
      <c r="M41" s="38"/>
      <c r="N41" s="75"/>
      <c r="O41" s="406"/>
      <c r="P41" s="85"/>
      <c r="Q41" s="406"/>
      <c r="R41" s="38"/>
      <c r="S41"/>
      <c r="T41"/>
      <c r="U41"/>
    </row>
    <row r="42" spans="3:21" ht="12.75" customHeight="1" thickBot="1">
      <c r="C42" s="171" t="s">
        <v>59</v>
      </c>
      <c r="D42" s="171"/>
      <c r="E42" s="193">
        <f>+SUM(E39:E41)</f>
        <v>40890</v>
      </c>
      <c r="F42" s="213"/>
      <c r="G42" s="193">
        <f>+SUM(G39:G41)</f>
        <v>39050</v>
      </c>
      <c r="H42" s="171"/>
      <c r="I42" s="193">
        <f>+SUM(I39:I41)</f>
        <v>37560</v>
      </c>
      <c r="J42" s="171"/>
      <c r="K42" s="193">
        <f>+SUM(K39:K41)</f>
        <v>35925</v>
      </c>
      <c r="L42" s="180"/>
      <c r="M42" s="213"/>
      <c r="N42" s="180"/>
      <c r="O42" s="406"/>
      <c r="P42" s="213"/>
      <c r="Q42" s="406"/>
      <c r="R42" s="213"/>
      <c r="S42"/>
      <c r="T42"/>
      <c r="U42"/>
    </row>
    <row r="43" spans="5:21" ht="6" customHeight="1" thickTop="1">
      <c r="E43" s="42"/>
      <c r="F43" s="42"/>
      <c r="G43" s="42"/>
      <c r="I43" s="42"/>
      <c r="K43" s="42"/>
      <c r="L43" s="7"/>
      <c r="M43" s="75"/>
      <c r="N43" s="7"/>
      <c r="O43" s="406"/>
      <c r="P43" s="75"/>
      <c r="Q43" s="406"/>
      <c r="R43" s="75"/>
      <c r="S43"/>
      <c r="T43"/>
      <c r="U43"/>
    </row>
    <row r="44" spans="3:21" ht="24" customHeight="1">
      <c r="C44" s="578" t="s">
        <v>287</v>
      </c>
      <c r="D44" s="180"/>
      <c r="E44" s="266" t="s">
        <v>524</v>
      </c>
      <c r="F44" s="266"/>
      <c r="G44" s="266" t="s">
        <v>429</v>
      </c>
      <c r="H44" s="180"/>
      <c r="I44" s="266" t="s">
        <v>367</v>
      </c>
      <c r="J44" s="180"/>
      <c r="K44" s="266" t="s">
        <v>367</v>
      </c>
      <c r="L44" s="180"/>
      <c r="M44" s="266"/>
      <c r="N44" s="180"/>
      <c r="O44" s="406"/>
      <c r="P44" s="266"/>
      <c r="Q44" s="406"/>
      <c r="R44" s="266"/>
      <c r="S44"/>
      <c r="T44"/>
      <c r="U44"/>
    </row>
    <row r="45" spans="3:21" ht="10.5" customHeight="1">
      <c r="C45" s="180" t="s">
        <v>202</v>
      </c>
      <c r="D45" s="180"/>
      <c r="E45" s="392">
        <v>0.055</v>
      </c>
      <c r="F45" s="392"/>
      <c r="G45" s="392">
        <v>0.057</v>
      </c>
      <c r="H45" s="180"/>
      <c r="I45" s="392">
        <v>0.053</v>
      </c>
      <c r="J45" s="180"/>
      <c r="K45" s="392">
        <v>0.054</v>
      </c>
      <c r="L45" s="180"/>
      <c r="M45" s="392"/>
      <c r="N45" s="180"/>
      <c r="O45" s="406"/>
      <c r="P45" s="392"/>
      <c r="Q45" s="406"/>
      <c r="R45" s="392"/>
      <c r="S45"/>
      <c r="T45"/>
      <c r="U45"/>
    </row>
    <row r="46" spans="3:20" ht="10.5" customHeight="1">
      <c r="C46" s="180" t="s">
        <v>203</v>
      </c>
      <c r="D46" s="180"/>
      <c r="E46" s="266" t="s">
        <v>71</v>
      </c>
      <c r="F46" s="266"/>
      <c r="G46" s="266" t="s">
        <v>71</v>
      </c>
      <c r="H46" s="180"/>
      <c r="I46" s="266" t="s">
        <v>71</v>
      </c>
      <c r="J46" s="180"/>
      <c r="K46" s="266" t="s">
        <v>71</v>
      </c>
      <c r="L46" s="180"/>
      <c r="M46" s="266"/>
      <c r="N46" s="180"/>
      <c r="O46" s="406"/>
      <c r="P46" s="266"/>
      <c r="Q46" s="406"/>
      <c r="R46" s="266"/>
      <c r="S46" s="266"/>
      <c r="T46" s="180"/>
    </row>
    <row r="47" spans="15:17" ht="12.75">
      <c r="O47"/>
      <c r="P47"/>
      <c r="Q47"/>
    </row>
    <row r="61" ht="11.25">
      <c r="E61" s="570" t="s">
        <v>357</v>
      </c>
    </row>
    <row r="64" spans="3:16" ht="12.75">
      <c r="C64" s="86" t="s">
        <v>291</v>
      </c>
      <c r="D64" s="86"/>
      <c r="E64" s="40">
        <f>+E66+E41-E68</f>
        <v>1560</v>
      </c>
      <c r="G64" s="40">
        <f>+G66+G41-G68</f>
        <v>1488</v>
      </c>
      <c r="I64" s="40">
        <f>+I66+K41-I68</f>
        <v>1415</v>
      </c>
      <c r="K64" s="40">
        <f>+K66+M41-K68</f>
        <v>734</v>
      </c>
      <c r="M64"/>
      <c r="N64"/>
      <c r="O64"/>
      <c r="P64"/>
    </row>
    <row r="65" spans="3:16" ht="12.75">
      <c r="C65" s="86" t="s">
        <v>290</v>
      </c>
      <c r="D65" s="86"/>
      <c r="E65" s="542">
        <v>-3</v>
      </c>
      <c r="G65" s="542">
        <v>-4</v>
      </c>
      <c r="I65" s="514">
        <v>-5</v>
      </c>
      <c r="K65" s="514">
        <v>-5</v>
      </c>
      <c r="M65"/>
      <c r="N65"/>
      <c r="O65"/>
      <c r="P65"/>
    </row>
    <row r="66" spans="3:16" ht="12.75">
      <c r="C66" s="86" t="s">
        <v>289</v>
      </c>
      <c r="D66" s="86"/>
      <c r="E66" s="542">
        <f>747-15</f>
        <v>732</v>
      </c>
      <c r="G66" s="542">
        <v>751</v>
      </c>
      <c r="I66" s="514">
        <v>740</v>
      </c>
      <c r="K66" s="514">
        <v>727</v>
      </c>
      <c r="M66"/>
      <c r="N66"/>
      <c r="O66"/>
      <c r="P66"/>
    </row>
    <row r="67" spans="3:16" ht="12.75">
      <c r="C67" s="86" t="s">
        <v>288</v>
      </c>
      <c r="D67" s="86"/>
      <c r="E67" s="40">
        <f>+'Consol Bal Sheet'!E24</f>
        <v>786</v>
      </c>
      <c r="G67" s="40">
        <f>+'Consol Bal Sheet'!G24</f>
        <v>826</v>
      </c>
      <c r="I67" s="40">
        <f>+'Consol Bal Sheet'!K24</f>
        <v>789</v>
      </c>
      <c r="K67" s="40">
        <f>+'Consol Bal Sheet'!M24</f>
        <v>0</v>
      </c>
      <c r="M67"/>
      <c r="N67"/>
      <c r="O67"/>
      <c r="P67"/>
    </row>
    <row r="68" spans="3:16" ht="12.75">
      <c r="C68" s="495" t="s">
        <v>330</v>
      </c>
      <c r="D68" s="495"/>
      <c r="E68" s="542">
        <v>-16</v>
      </c>
      <c r="G68" s="542">
        <v>12</v>
      </c>
      <c r="I68" s="514">
        <v>-14</v>
      </c>
      <c r="K68" s="514">
        <v>-7</v>
      </c>
      <c r="M68"/>
      <c r="N68"/>
      <c r="O68"/>
      <c r="P68"/>
    </row>
    <row r="69" spans="3:16" ht="12.75">
      <c r="C69" s="495" t="s">
        <v>402</v>
      </c>
      <c r="D69" s="495"/>
      <c r="E69" s="542">
        <v>-9</v>
      </c>
      <c r="G69" s="542">
        <v>-9</v>
      </c>
      <c r="I69" s="85">
        <v>-15</v>
      </c>
      <c r="K69" s="85"/>
      <c r="M69"/>
      <c r="N69"/>
      <c r="O69"/>
      <c r="P69"/>
    </row>
    <row r="70" spans="3:18" ht="12.75">
      <c r="C70" s="86" t="s">
        <v>131</v>
      </c>
      <c r="D70" s="86"/>
      <c r="E70" s="40">
        <f>+'Consol Bal Sheet'!E14+'Consol Bal Sheet'!E24</f>
        <v>42253</v>
      </c>
      <c r="G70" s="40">
        <f>+'Consol Bal Sheet'!G14+'Consol Bal Sheet'!G24</f>
        <v>40179</v>
      </c>
      <c r="I70" s="40">
        <f>+'Consol Bal Sheet'!K14+'Consol Bal Sheet'!K24</f>
        <v>37390</v>
      </c>
      <c r="K70" s="40">
        <f>+'Consol Bal Sheet'!M14+'Consol Bal Sheet'!M24</f>
        <v>0</v>
      </c>
      <c r="M70"/>
      <c r="N70"/>
      <c r="O70"/>
      <c r="P70"/>
      <c r="Q70" s="9"/>
      <c r="R70" s="7"/>
    </row>
    <row r="71" spans="3:18" ht="12.75">
      <c r="C71" s="86" t="s">
        <v>132</v>
      </c>
      <c r="D71" s="86"/>
      <c r="E71" s="9">
        <f>+E42+E66+E65-E68-E69</f>
        <v>41644</v>
      </c>
      <c r="G71" s="9">
        <f>+G42+G66+G65-G68-G69</f>
        <v>39794</v>
      </c>
      <c r="I71" s="9">
        <f>+K42+I66+I65-I68-I69</f>
        <v>36689</v>
      </c>
      <c r="K71" s="9">
        <f>+M42+K66+K65-K68-K69</f>
        <v>729</v>
      </c>
      <c r="M71"/>
      <c r="N71"/>
      <c r="O71"/>
      <c r="P71"/>
      <c r="Q71" s="9"/>
      <c r="R71" s="7"/>
    </row>
    <row r="72" spans="5:18" ht="12.75">
      <c r="E72" s="462">
        <f>+E70-E71</f>
        <v>609</v>
      </c>
      <c r="G72" s="462">
        <f>+G70-G71</f>
        <v>385</v>
      </c>
      <c r="I72" s="462">
        <f>+I70-I71</f>
        <v>701</v>
      </c>
      <c r="K72" s="462">
        <f>+K70-K71</f>
        <v>-729</v>
      </c>
      <c r="M72"/>
      <c r="N72"/>
      <c r="O72"/>
      <c r="P72"/>
      <c r="Q72" s="12"/>
      <c r="R72" s="7"/>
    </row>
    <row r="73" spans="5:18" ht="12.75">
      <c r="E73" s="40">
        <f>+E72-G72</f>
        <v>224</v>
      </c>
      <c r="G73" s="40"/>
      <c r="I73" s="40"/>
      <c r="K73"/>
      <c r="M73"/>
      <c r="N73"/>
      <c r="O73"/>
      <c r="P73"/>
      <c r="R73" s="7"/>
    </row>
    <row r="74" spans="5:18" ht="12.75">
      <c r="E74" s="40">
        <f>+'Comprehensive Income'!H11+'Comprehensive Income'!H13</f>
        <v>224</v>
      </c>
      <c r="G74" s="40"/>
      <c r="I74" s="40"/>
      <c r="K74"/>
      <c r="N74" s="9"/>
      <c r="R74" s="7"/>
    </row>
    <row r="75" spans="5:18" ht="12.75">
      <c r="E75" s="40">
        <f>+E73-E74</f>
        <v>0</v>
      </c>
      <c r="G75" s="40"/>
      <c r="I75" s="40"/>
      <c r="K75"/>
      <c r="R75" s="7"/>
    </row>
    <row r="76" spans="5:18" ht="11.25">
      <c r="E76" s="42"/>
      <c r="G76" s="42"/>
      <c r="I76" s="42"/>
      <c r="R76" s="7"/>
    </row>
    <row r="77" spans="5:18" ht="12.75">
      <c r="E77" s="42" t="s">
        <v>256</v>
      </c>
      <c r="G77" s="42"/>
      <c r="I77"/>
      <c r="J77"/>
      <c r="K77"/>
      <c r="L77" s="42"/>
      <c r="M77" s="42"/>
      <c r="N77" s="42"/>
      <c r="R77" s="7"/>
    </row>
    <row r="78" spans="3:17" ht="12.75">
      <c r="C78" s="86" t="s">
        <v>254</v>
      </c>
      <c r="D78" s="86"/>
      <c r="E78" s="513">
        <f>-'Consol Bal Sheet'!G45+'Consol Bal Sheet'!E45</f>
        <v>253</v>
      </c>
      <c r="F78" s="86"/>
      <c r="G78" s="40"/>
      <c r="H78" s="86"/>
      <c r="I78"/>
      <c r="J78"/>
      <c r="K78"/>
      <c r="L78" s="42"/>
      <c r="M78" s="40"/>
      <c r="N78" s="40"/>
      <c r="O78" s="9"/>
      <c r="P78" s="9"/>
      <c r="Q78" s="9"/>
    </row>
    <row r="79" spans="5:17" ht="12.75">
      <c r="E79" s="40">
        <f>+'Comprehensive Income'!H18</f>
        <v>253</v>
      </c>
      <c r="G79" s="40"/>
      <c r="I79"/>
      <c r="J79"/>
      <c r="K79"/>
      <c r="L79" s="40"/>
      <c r="M79" s="42"/>
      <c r="N79" s="40"/>
      <c r="O79" s="9"/>
      <c r="P79" s="9"/>
      <c r="Q79" s="9"/>
    </row>
    <row r="80" spans="5:14" ht="12.75">
      <c r="E80" s="42" t="s">
        <v>255</v>
      </c>
      <c r="G80" s="42"/>
      <c r="I80"/>
      <c r="J80"/>
      <c r="K80"/>
      <c r="L80" s="42"/>
      <c r="M80" s="42"/>
      <c r="N80" s="42"/>
    </row>
    <row r="81" spans="5:17" ht="12.75">
      <c r="E81" s="513">
        <f>-'Consol Bal Sheet'!K45+'Consol Bal Sheet'!E45</f>
        <v>-60</v>
      </c>
      <c r="G81" s="40"/>
      <c r="I81"/>
      <c r="J81"/>
      <c r="K81"/>
      <c r="L81" s="42"/>
      <c r="M81" s="40"/>
      <c r="N81" s="40"/>
      <c r="O81" s="9"/>
      <c r="Q81" s="9"/>
    </row>
    <row r="82" spans="5:17" ht="12.75">
      <c r="E82" s="40">
        <f>+'Comprehensive Income'!N18</f>
        <v>-48</v>
      </c>
      <c r="G82" s="40"/>
      <c r="I82"/>
      <c r="J82"/>
      <c r="K82"/>
      <c r="L82" s="42"/>
      <c r="M82" s="40"/>
      <c r="N82" s="40"/>
      <c r="O82" s="9"/>
      <c r="Q82" s="9"/>
    </row>
    <row r="83" spans="5:14" ht="12.75">
      <c r="E83" s="40">
        <f>+E81-E82</f>
        <v>-12</v>
      </c>
      <c r="G83" s="42" t="s">
        <v>428</v>
      </c>
      <c r="I83"/>
      <c r="J83"/>
      <c r="K83"/>
      <c r="L83" s="42"/>
      <c r="M83" s="42"/>
      <c r="N83" s="42"/>
    </row>
    <row r="84" spans="5:14" ht="12.75">
      <c r="E84" s="42" t="s">
        <v>256</v>
      </c>
      <c r="G84" s="42"/>
      <c r="I84"/>
      <c r="J84" s="42"/>
      <c r="K84" s="42"/>
      <c r="L84" s="42"/>
      <c r="M84"/>
      <c r="N84"/>
    </row>
    <row r="85" spans="3:14" ht="12.75">
      <c r="C85" s="86" t="s">
        <v>332</v>
      </c>
      <c r="D85" s="86"/>
      <c r="E85" s="40">
        <f>+'Investment Gains (Losses) '!G18</f>
        <v>224</v>
      </c>
      <c r="G85" s="9">
        <f>+'Investment Gains (Losses) '!N18</f>
        <v>-115</v>
      </c>
      <c r="I85"/>
      <c r="J85" s="42"/>
      <c r="K85" s="42"/>
      <c r="L85" s="42"/>
      <c r="M85"/>
      <c r="N85"/>
    </row>
    <row r="86" spans="3:14" ht="12.75">
      <c r="C86" s="86" t="s">
        <v>331</v>
      </c>
      <c r="D86" s="86"/>
      <c r="E86" s="40">
        <f>+'Comprehensive Income'!H11+'Comprehensive Income'!H13</f>
        <v>224</v>
      </c>
      <c r="G86" s="9">
        <f>+'Comprehensive Income'!N11+'Comprehensive Income'!N13</f>
        <v>-115</v>
      </c>
      <c r="I86"/>
      <c r="J86" s="42"/>
      <c r="K86" s="42"/>
      <c r="L86" s="42"/>
      <c r="M86"/>
      <c r="N86"/>
    </row>
    <row r="87" spans="5:14" ht="12.75">
      <c r="E87" s="42"/>
      <c r="G87" s="40">
        <f>+G85-G86</f>
        <v>0</v>
      </c>
      <c r="I87" s="42"/>
      <c r="J87" s="42"/>
      <c r="K87" s="42"/>
      <c r="L87" s="42"/>
      <c r="M87"/>
      <c r="N87"/>
    </row>
    <row r="88" spans="5:14" ht="12.75">
      <c r="E88" s="40"/>
      <c r="G88" s="42"/>
      <c r="I88" s="42"/>
      <c r="J88" s="42"/>
      <c r="K88" s="42"/>
      <c r="L88" s="42"/>
      <c r="M88"/>
      <c r="N88"/>
    </row>
    <row r="89" spans="5:14" ht="12.75">
      <c r="E89" s="40"/>
      <c r="M89"/>
      <c r="N89"/>
    </row>
  </sheetData>
  <mergeCells count="4">
    <mergeCell ref="A1:M1"/>
    <mergeCell ref="A2:M2"/>
    <mergeCell ref="A3:M3"/>
    <mergeCell ref="A4:M4"/>
  </mergeCells>
  <printOptions/>
  <pageMargins left="0.5" right="0.5" top="0.5" bottom="0.55" header="0.75" footer="0.3"/>
  <pageSetup horizontalDpi="600" verticalDpi="600" orientation="landscape" r:id="rId2"/>
  <headerFooter alignWithMargins="0">
    <oddFooter>&amp;L&amp;A&amp;R&amp;"Arial,Regular"&amp;8Page 17</oddFooter>
  </headerFooter>
  <drawing r:id="rId1"/>
</worksheet>
</file>

<file path=xl/worksheets/sheet2.xml><?xml version="1.0" encoding="utf-8"?>
<worksheet xmlns="http://schemas.openxmlformats.org/spreadsheetml/2006/main" xmlns:r="http://schemas.openxmlformats.org/officeDocument/2006/relationships">
  <sheetPr codeName="Sheet11"/>
  <dimension ref="A1:M41"/>
  <sheetViews>
    <sheetView workbookViewId="0" topLeftCell="A1">
      <selection activeCell="A1" sqref="A1"/>
    </sheetView>
  </sheetViews>
  <sheetFormatPr defaultColWidth="9.33203125" defaultRowHeight="12.75"/>
  <cols>
    <col min="1" max="1" width="3.33203125" style="1" customWidth="1"/>
    <col min="2" max="2" width="11.5" style="23" customWidth="1"/>
    <col min="3" max="3" width="3.33203125" style="23" customWidth="1"/>
    <col min="4" max="4" width="71.66015625" style="1" customWidth="1"/>
    <col min="5" max="5" width="18" style="1" customWidth="1"/>
    <col min="6" max="6" width="9" style="86" customWidth="1"/>
    <col min="7" max="7" width="3.83203125" style="1" customWidth="1"/>
    <col min="8" max="8" width="23.5" style="1" customWidth="1"/>
    <col min="9" max="16384" width="9" style="1" customWidth="1"/>
  </cols>
  <sheetData>
    <row r="1" spans="2:13" ht="12.75">
      <c r="B1" s="1"/>
      <c r="C1" s="1"/>
      <c r="D1" s="88" t="s">
        <v>89</v>
      </c>
      <c r="E1" s="88"/>
      <c r="F1" s="142"/>
      <c r="G1" s="66"/>
      <c r="H1" s="66"/>
      <c r="I1" s="66"/>
      <c r="J1" s="2"/>
      <c r="K1" s="2"/>
      <c r="L1" s="2"/>
      <c r="M1" s="2"/>
    </row>
    <row r="2" spans="2:9" ht="12.75">
      <c r="B2" s="1"/>
      <c r="C2" s="1"/>
      <c r="D2" s="89" t="s">
        <v>152</v>
      </c>
      <c r="E2" s="89"/>
      <c r="F2" s="142"/>
      <c r="G2" s="140"/>
      <c r="H2" s="140"/>
      <c r="I2" s="140"/>
    </row>
    <row r="3" spans="4:6" ht="12">
      <c r="D3" s="87"/>
      <c r="E3" s="87"/>
      <c r="F3" s="87"/>
    </row>
    <row r="4" ht="12"/>
    <row r="5" spans="4:6" ht="11.25" customHeight="1">
      <c r="D5" s="501"/>
      <c r="F5" s="170" t="s">
        <v>149</v>
      </c>
    </row>
    <row r="6" spans="3:9" ht="12.75">
      <c r="C6" s="207" t="s">
        <v>27</v>
      </c>
      <c r="D6" s="3" t="s">
        <v>140</v>
      </c>
      <c r="E6" s="169"/>
      <c r="F6" s="133"/>
      <c r="I6" s="134"/>
    </row>
    <row r="7" spans="3:9" ht="11.25" customHeight="1">
      <c r="C7" s="207"/>
      <c r="D7" s="135" t="s">
        <v>16</v>
      </c>
      <c r="E7" s="169"/>
      <c r="F7" s="430">
        <v>1</v>
      </c>
      <c r="I7" s="134"/>
    </row>
    <row r="8" spans="3:9" ht="11.25">
      <c r="C8" s="207"/>
      <c r="D8" s="178"/>
      <c r="F8" s="133"/>
      <c r="I8" s="134"/>
    </row>
    <row r="9" spans="3:9" ht="12.75">
      <c r="C9" s="207" t="s">
        <v>28</v>
      </c>
      <c r="D9" s="3" t="s">
        <v>29</v>
      </c>
      <c r="E9" s="3"/>
      <c r="F9" s="133"/>
      <c r="I9" s="134"/>
    </row>
    <row r="10" spans="3:9" ht="11.25" customHeight="1">
      <c r="C10" s="207"/>
      <c r="D10" s="135" t="s">
        <v>42</v>
      </c>
      <c r="E10" s="135"/>
      <c r="F10" s="430">
        <v>2</v>
      </c>
      <c r="I10" s="134"/>
    </row>
    <row r="11" spans="3:9" ht="11.25" customHeight="1">
      <c r="C11" s="207"/>
      <c r="D11" s="135" t="s">
        <v>40</v>
      </c>
      <c r="E11" s="135"/>
      <c r="F11" s="430">
        <v>3</v>
      </c>
      <c r="I11" s="134"/>
    </row>
    <row r="12" spans="3:9" ht="11.25" customHeight="1">
      <c r="C12" s="207"/>
      <c r="D12" s="135" t="s">
        <v>11</v>
      </c>
      <c r="E12" s="135"/>
      <c r="F12" s="430">
        <v>4</v>
      </c>
      <c r="I12" s="134"/>
    </row>
    <row r="13" spans="3:9" ht="11.25" customHeight="1">
      <c r="C13" s="207"/>
      <c r="D13" s="135" t="s">
        <v>216</v>
      </c>
      <c r="E13" s="135"/>
      <c r="F13" s="430" t="s">
        <v>424</v>
      </c>
      <c r="H13" s="430"/>
      <c r="I13" s="134"/>
    </row>
    <row r="14" spans="3:9" ht="11.25">
      <c r="C14" s="207"/>
      <c r="D14" s="135"/>
      <c r="E14" s="135"/>
      <c r="F14" s="430"/>
      <c r="H14" s="430"/>
      <c r="I14" s="134"/>
    </row>
    <row r="15" spans="3:9" ht="12.75">
      <c r="C15" s="207" t="s">
        <v>30</v>
      </c>
      <c r="D15" s="3" t="s">
        <v>31</v>
      </c>
      <c r="E15" s="3"/>
      <c r="F15" s="430"/>
      <c r="H15" s="430"/>
      <c r="I15" s="134"/>
    </row>
    <row r="16" spans="3:9" ht="11.25" customHeight="1">
      <c r="C16" s="207"/>
      <c r="D16" s="135" t="s">
        <v>430</v>
      </c>
      <c r="E16" s="135"/>
      <c r="F16" s="430">
        <v>7</v>
      </c>
      <c r="H16" s="430"/>
      <c r="I16" s="134"/>
    </row>
    <row r="17" spans="3:9" ht="11.25" customHeight="1">
      <c r="C17" s="207"/>
      <c r="D17" s="135" t="s">
        <v>431</v>
      </c>
      <c r="E17" s="135"/>
      <c r="F17" s="430">
        <v>8</v>
      </c>
      <c r="H17" s="430"/>
      <c r="I17" s="134"/>
    </row>
    <row r="18" spans="3:9" ht="11.25" customHeight="1">
      <c r="C18" s="207"/>
      <c r="D18" s="135" t="s">
        <v>36</v>
      </c>
      <c r="E18" s="135"/>
      <c r="F18" s="430" t="s">
        <v>414</v>
      </c>
      <c r="H18" s="430"/>
      <c r="I18" s="134"/>
    </row>
    <row r="19" spans="3:10" ht="12" customHeight="1">
      <c r="C19" s="207"/>
      <c r="D19" s="135" t="s">
        <v>318</v>
      </c>
      <c r="E19" s="135"/>
      <c r="F19" s="430">
        <v>11</v>
      </c>
      <c r="G19" s="52"/>
      <c r="H19" s="430"/>
      <c r="I19" s="52"/>
      <c r="J19" s="52"/>
    </row>
    <row r="20" spans="3:10" ht="12.75">
      <c r="C20" s="207"/>
      <c r="G20" s="52"/>
      <c r="H20" s="86"/>
      <c r="I20" s="52"/>
      <c r="J20" s="52"/>
    </row>
    <row r="21" spans="3:10" ht="12.75">
      <c r="C21" s="207" t="s">
        <v>32</v>
      </c>
      <c r="D21" s="3" t="s">
        <v>33</v>
      </c>
      <c r="E21" s="3"/>
      <c r="G21" s="52"/>
      <c r="H21" s="86"/>
      <c r="I21" s="52"/>
      <c r="J21" s="52"/>
    </row>
    <row r="22" spans="3:10" ht="11.25" customHeight="1">
      <c r="C22" s="207"/>
      <c r="D22" s="135" t="s">
        <v>182</v>
      </c>
      <c r="E22" s="3"/>
      <c r="F22" s="430">
        <v>12</v>
      </c>
      <c r="G22" s="52"/>
      <c r="H22" s="430"/>
      <c r="I22" s="52"/>
      <c r="J22" s="52"/>
    </row>
    <row r="23" spans="3:10" ht="11.25" customHeight="1">
      <c r="C23" s="207"/>
      <c r="D23" s="135" t="s">
        <v>183</v>
      </c>
      <c r="E23" s="135"/>
      <c r="F23" s="430" t="s">
        <v>415</v>
      </c>
      <c r="G23" s="52"/>
      <c r="H23" s="430"/>
      <c r="I23" s="52"/>
      <c r="J23" s="52"/>
    </row>
    <row r="24" spans="3:10" ht="11.25" customHeight="1">
      <c r="C24" s="207"/>
      <c r="D24" s="135" t="s">
        <v>51</v>
      </c>
      <c r="E24" s="136"/>
      <c r="F24" s="430">
        <v>17</v>
      </c>
      <c r="G24" s="52"/>
      <c r="H24" s="430"/>
      <c r="I24" s="52"/>
      <c r="J24" s="52"/>
    </row>
    <row r="25" spans="3:10" ht="11.25" customHeight="1">
      <c r="C25" s="207"/>
      <c r="D25" s="135" t="s">
        <v>0</v>
      </c>
      <c r="E25" s="136"/>
      <c r="F25" s="430">
        <v>18</v>
      </c>
      <c r="G25" s="52"/>
      <c r="H25" s="430"/>
      <c r="I25" s="52"/>
      <c r="J25" s="52"/>
    </row>
    <row r="26" spans="3:10" ht="11.25" customHeight="1">
      <c r="C26" s="207"/>
      <c r="D26" s="135" t="s">
        <v>50</v>
      </c>
      <c r="E26" s="137"/>
      <c r="F26" s="430">
        <v>19</v>
      </c>
      <c r="G26" s="52"/>
      <c r="H26" s="430"/>
      <c r="I26" s="52"/>
      <c r="J26" s="52"/>
    </row>
    <row r="27" spans="3:9" ht="11.25" customHeight="1">
      <c r="C27" s="207"/>
      <c r="D27" s="135" t="s">
        <v>39</v>
      </c>
      <c r="E27" s="135"/>
      <c r="F27" s="430">
        <v>20</v>
      </c>
      <c r="H27" s="430"/>
      <c r="I27" s="134"/>
    </row>
    <row r="28" spans="3:10" ht="12.75">
      <c r="C28" s="207"/>
      <c r="D28" s="136"/>
      <c r="E28" s="137"/>
      <c r="F28" s="430"/>
      <c r="G28" s="52"/>
      <c r="H28" s="430"/>
      <c r="I28" s="52"/>
      <c r="J28" s="52"/>
    </row>
    <row r="29" spans="3:10" ht="12.75">
      <c r="C29" s="207" t="s">
        <v>34</v>
      </c>
      <c r="D29" s="3" t="s">
        <v>212</v>
      </c>
      <c r="E29" s="3"/>
      <c r="F29" s="430"/>
      <c r="G29" s="52"/>
      <c r="H29" s="430"/>
      <c r="I29" s="52"/>
      <c r="J29" s="52"/>
    </row>
    <row r="30" spans="4:10" ht="11.25" customHeight="1">
      <c r="D30" s="135" t="s">
        <v>21</v>
      </c>
      <c r="E30" s="3"/>
      <c r="F30" s="430">
        <v>21</v>
      </c>
      <c r="G30" s="52"/>
      <c r="H30" s="430"/>
      <c r="I30" s="52"/>
      <c r="J30" s="52"/>
    </row>
    <row r="31" spans="4:10" ht="11.25" customHeight="1">
      <c r="D31" s="135" t="s">
        <v>312</v>
      </c>
      <c r="E31" s="3"/>
      <c r="F31" s="430">
        <v>22</v>
      </c>
      <c r="G31" s="52"/>
      <c r="H31" s="430"/>
      <c r="I31" s="52"/>
      <c r="J31" s="52"/>
    </row>
    <row r="32" spans="4:10" ht="11.25" customHeight="1">
      <c r="D32" s="135" t="s">
        <v>191</v>
      </c>
      <c r="E32" s="3"/>
      <c r="F32" s="430">
        <v>23</v>
      </c>
      <c r="G32" s="52"/>
      <c r="H32" s="430"/>
      <c r="I32" s="52"/>
      <c r="J32" s="52"/>
    </row>
    <row r="33" spans="4:10" ht="11.25" customHeight="1">
      <c r="D33" s="135" t="s">
        <v>184</v>
      </c>
      <c r="E33" s="137"/>
      <c r="F33" s="430">
        <v>24</v>
      </c>
      <c r="G33" s="52"/>
      <c r="H33" s="430"/>
      <c r="I33" s="52"/>
      <c r="J33" s="52"/>
    </row>
    <row r="34" spans="2:10" ht="12.75">
      <c r="B34" s="62"/>
      <c r="C34" s="62"/>
      <c r="D34" s="137"/>
      <c r="E34" s="137"/>
      <c r="F34" s="133"/>
      <c r="G34" s="52"/>
      <c r="H34" s="52"/>
      <c r="I34" s="52"/>
      <c r="J34" s="52"/>
    </row>
    <row r="35" spans="4:10" ht="12.75">
      <c r="D35" s="138"/>
      <c r="E35" s="138"/>
      <c r="F35" s="133"/>
      <c r="G35" s="52"/>
      <c r="H35" s="52"/>
      <c r="I35" s="52"/>
      <c r="J35" s="52"/>
    </row>
    <row r="36" spans="2:10" ht="12.75">
      <c r="B36" s="54"/>
      <c r="C36" s="54"/>
      <c r="D36" s="138"/>
      <c r="E36" s="138"/>
      <c r="F36" s="133"/>
      <c r="G36" s="52"/>
      <c r="H36" s="52"/>
      <c r="I36" s="52"/>
      <c r="J36" s="52"/>
    </row>
    <row r="37" spans="1:10" ht="12.75">
      <c r="A37" s="7"/>
      <c r="B37" s="141"/>
      <c r="C37" s="141"/>
      <c r="D37" s="139"/>
      <c r="E37" s="139"/>
      <c r="F37" s="133"/>
      <c r="G37" s="52"/>
      <c r="H37" s="52"/>
      <c r="I37" s="52"/>
      <c r="J37" s="52"/>
    </row>
    <row r="38" spans="1:10" ht="12.75">
      <c r="A38" s="7"/>
      <c r="F38" s="133"/>
      <c r="G38" s="52"/>
      <c r="H38" s="52"/>
      <c r="I38" s="52"/>
      <c r="J38" s="52"/>
    </row>
    <row r="39" spans="1:6" ht="11.25">
      <c r="A39" s="7"/>
      <c r="F39" s="133"/>
    </row>
    <row r="40" spans="1:6" ht="11.25">
      <c r="A40" s="7"/>
      <c r="F40" s="133"/>
    </row>
    <row r="41" ht="11.25">
      <c r="F41" s="133"/>
    </row>
  </sheetData>
  <hyperlinks>
    <hyperlink ref="D27" location="'Earnings per share '!A1" display="'Earnings per share '!A1"/>
    <hyperlink ref="D12" location="'Line of Business '!A1" display="- Consolidated Premiums by Line of Business"/>
    <hyperlink ref="D11" location="'Consol Bal Sheet'!A1" display="'Consol Bal Sheet'!A1"/>
    <hyperlink ref="D23" location="'Reinsurance Recoverable'!A1" display="'Reinsurance Recoverable'!A1"/>
    <hyperlink ref="D22" location="'Loss Reserve Rollforward'!A1" display="- Loss Reserve Rollforward"/>
    <hyperlink ref="D26" location="'Capital Structure'!A1" display="'Capital Structure'!A1"/>
    <hyperlink ref="D24" location="Investments!A1" display="Investments!A1"/>
    <hyperlink ref="D6" location="'Financial Highlights'!A1" display="'Financial Highlights'!A1"/>
    <hyperlink ref="D29" location="'Reconciliation GAAP'!A1" display="'Reconciliation GAAP'!A1"/>
    <hyperlink ref="D16" location="'Insurance-North American '!A1" display="'Insurance-North American '!A1"/>
    <hyperlink ref="D17" location="'Insurance-Overseas General '!A1" display="'Insurance-Overseas General '!A1"/>
    <hyperlink ref="D18" location="'Global Reinsurance '!A1" display="'Global Reinsurance '!A1"/>
    <hyperlink ref="D30" location="'Reconciliation Non-GAAP'!A1" display="- Reconciliation to Generally Accepted Accounting Principles"/>
    <hyperlink ref="D7" location="'Financial Highlights'!A1" display="- Financial Highlights"/>
    <hyperlink ref="D33" location="Glossary!A1" display="- Glossary"/>
    <hyperlink ref="D13" location="'Segment  2005 Qtr'!A1" display="- Consolidating Statement of Operations"/>
    <hyperlink ref="D25" location="'Investment Gains (Losses) '!A1" display="- Realized and Unrealized Gains (Losses)"/>
    <hyperlink ref="D31" location="'Reconciliation Book Value'!A1" display="'Reconciliation Book Value'!A1"/>
    <hyperlink ref="D10" location="'Consolidated Results'!A1" display="'Consolidated Results'!A1"/>
    <hyperlink ref="D32" location="'Comprehensive Income'!A1" display="'Comprehensive Income'!A1"/>
    <hyperlink ref="D19" location="Life!A1" display="- Life"/>
  </hyperlinks>
  <printOptions/>
  <pageMargins left="0.5" right="0.5" top="0.5" bottom="0.55" header="0.75" footer="0.3"/>
  <pageSetup horizontalDpi="600" verticalDpi="600" orientation="landscape" r:id="rId2"/>
  <drawing r:id="rId1"/>
</worksheet>
</file>

<file path=xl/worksheets/sheet20.xml><?xml version="1.0" encoding="utf-8"?>
<worksheet xmlns="http://schemas.openxmlformats.org/spreadsheetml/2006/main" xmlns:r="http://schemas.openxmlformats.org/officeDocument/2006/relationships">
  <sheetPr codeName="Sheet30"/>
  <dimension ref="A1:AB69"/>
  <sheetViews>
    <sheetView workbookViewId="0" topLeftCell="A1">
      <selection activeCell="A1" sqref="A1:P1"/>
    </sheetView>
  </sheetViews>
  <sheetFormatPr defaultColWidth="9.33203125" defaultRowHeight="12.75"/>
  <cols>
    <col min="1" max="1" width="2.83203125" style="1" customWidth="1"/>
    <col min="2" max="2" width="5.83203125" style="1" customWidth="1"/>
    <col min="3" max="3" width="30.83203125" style="1" customWidth="1"/>
    <col min="4" max="4" width="2.83203125" style="1" customWidth="1"/>
    <col min="5" max="5" width="12.83203125" style="1" customWidth="1"/>
    <col min="6" max="6" width="1.83203125" style="1" customWidth="1"/>
    <col min="7" max="7" width="12.83203125" style="23" customWidth="1"/>
    <col min="8" max="8" width="1.83203125" style="23" customWidth="1"/>
    <col min="9" max="9" width="12.83203125" style="1" customWidth="1"/>
    <col min="10" max="11" width="2.5" style="1" customWidth="1"/>
    <col min="12" max="12" width="12.83203125" style="1" customWidth="1"/>
    <col min="13" max="13" width="1.83203125" style="23" customWidth="1"/>
    <col min="14" max="14" width="12.83203125" style="1" customWidth="1"/>
    <col min="15" max="15" width="1.83203125" style="1" customWidth="1"/>
    <col min="16" max="16" width="12.83203125" style="1" customWidth="1"/>
    <col min="17" max="16384" width="8.16015625" style="1" customWidth="1"/>
  </cols>
  <sheetData>
    <row r="1" spans="1:16" ht="12.75">
      <c r="A1" s="626" t="s">
        <v>89</v>
      </c>
      <c r="B1" s="626"/>
      <c r="C1" s="626"/>
      <c r="D1" s="626"/>
      <c r="E1" s="626"/>
      <c r="F1" s="626"/>
      <c r="G1" s="626"/>
      <c r="H1" s="626"/>
      <c r="I1" s="626"/>
      <c r="J1" s="626"/>
      <c r="K1" s="626"/>
      <c r="L1" s="626"/>
      <c r="M1" s="626"/>
      <c r="N1" s="626"/>
      <c r="O1" s="626"/>
      <c r="P1" s="626"/>
    </row>
    <row r="2" spans="1:16" ht="12.75" customHeight="1">
      <c r="A2" s="627" t="s">
        <v>1</v>
      </c>
      <c r="B2" s="627"/>
      <c r="C2" s="627"/>
      <c r="D2" s="627"/>
      <c r="E2" s="627"/>
      <c r="F2" s="627"/>
      <c r="G2" s="627"/>
      <c r="H2" s="627"/>
      <c r="I2" s="627"/>
      <c r="J2" s="627"/>
      <c r="K2" s="627"/>
      <c r="L2" s="627"/>
      <c r="M2" s="627"/>
      <c r="N2" s="627"/>
      <c r="O2" s="627"/>
      <c r="P2" s="627"/>
    </row>
    <row r="3" spans="1:16" ht="12.75" customHeight="1">
      <c r="A3" s="602" t="s">
        <v>147</v>
      </c>
      <c r="B3" s="602"/>
      <c r="C3" s="602"/>
      <c r="D3" s="602"/>
      <c r="E3" s="602"/>
      <c r="F3" s="602"/>
      <c r="G3" s="602"/>
      <c r="H3" s="602"/>
      <c r="I3" s="602"/>
      <c r="J3" s="602"/>
      <c r="K3" s="602"/>
      <c r="L3" s="602"/>
      <c r="M3" s="602"/>
      <c r="N3" s="602"/>
      <c r="O3" s="602"/>
      <c r="P3" s="602"/>
    </row>
    <row r="4" spans="1:16" ht="12.75" customHeight="1">
      <c r="A4" s="602" t="s">
        <v>163</v>
      </c>
      <c r="B4" s="602"/>
      <c r="C4" s="602"/>
      <c r="D4" s="602"/>
      <c r="E4" s="602"/>
      <c r="F4" s="602"/>
      <c r="G4" s="602"/>
      <c r="H4" s="602"/>
      <c r="I4" s="602"/>
      <c r="J4" s="602"/>
      <c r="K4" s="602"/>
      <c r="L4" s="602"/>
      <c r="M4" s="602"/>
      <c r="N4" s="602"/>
      <c r="O4" s="602"/>
      <c r="P4" s="602"/>
    </row>
    <row r="5" spans="3:15" ht="10.5" customHeight="1">
      <c r="C5" s="501"/>
      <c r="D5" s="20"/>
      <c r="E5" s="20"/>
      <c r="F5" s="20"/>
      <c r="G5" s="20"/>
      <c r="H5" s="20"/>
      <c r="I5" s="20"/>
      <c r="L5" s="7"/>
      <c r="M5" s="471"/>
      <c r="N5" s="7"/>
      <c r="O5" s="7"/>
    </row>
    <row r="6" spans="3:16" ht="11.25">
      <c r="C6" s="2"/>
      <c r="D6" s="2"/>
      <c r="E6" s="100" t="s">
        <v>442</v>
      </c>
      <c r="F6" s="100"/>
      <c r="G6" s="100"/>
      <c r="H6" s="100"/>
      <c r="I6" s="100"/>
      <c r="K6" s="2"/>
      <c r="L6" s="100" t="s">
        <v>450</v>
      </c>
      <c r="M6" s="100"/>
      <c r="N6" s="100"/>
      <c r="O6" s="100"/>
      <c r="P6" s="100"/>
    </row>
    <row r="7" spans="5:15" ht="11.25">
      <c r="E7" s="2" t="s">
        <v>170</v>
      </c>
      <c r="F7" s="2"/>
      <c r="G7" s="253" t="s">
        <v>171</v>
      </c>
      <c r="H7" s="253"/>
      <c r="L7" s="2" t="s">
        <v>170</v>
      </c>
      <c r="M7" s="2"/>
      <c r="N7" s="253" t="s">
        <v>171</v>
      </c>
      <c r="O7" s="253"/>
    </row>
    <row r="8" spans="5:16" ht="11.25">
      <c r="E8" s="2" t="s">
        <v>234</v>
      </c>
      <c r="F8" s="2"/>
      <c r="G8" s="2" t="s">
        <v>234</v>
      </c>
      <c r="H8" s="253"/>
      <c r="I8" s="253" t="s">
        <v>86</v>
      </c>
      <c r="L8" s="2" t="s">
        <v>234</v>
      </c>
      <c r="M8" s="2"/>
      <c r="N8" s="2" t="s">
        <v>234</v>
      </c>
      <c r="O8" s="253"/>
      <c r="P8" s="253" t="s">
        <v>86</v>
      </c>
    </row>
    <row r="9" spans="5:16" ht="11.25">
      <c r="E9" s="4" t="s">
        <v>235</v>
      </c>
      <c r="F9" s="4"/>
      <c r="G9" s="60" t="s">
        <v>236</v>
      </c>
      <c r="H9" s="60"/>
      <c r="I9" s="60" t="s">
        <v>172</v>
      </c>
      <c r="L9" s="4" t="s">
        <v>235</v>
      </c>
      <c r="M9" s="4"/>
      <c r="N9" s="60" t="s">
        <v>236</v>
      </c>
      <c r="O9" s="60"/>
      <c r="P9" s="60" t="s">
        <v>172</v>
      </c>
    </row>
    <row r="10" spans="7:16" ht="4.5" customHeight="1">
      <c r="G10" s="62"/>
      <c r="H10" s="62"/>
      <c r="I10" s="42"/>
      <c r="M10" s="1"/>
      <c r="N10" s="62"/>
      <c r="O10" s="62"/>
      <c r="P10" s="42"/>
    </row>
    <row r="11" spans="3:17" ht="12.75" customHeight="1">
      <c r="C11" s="42" t="s">
        <v>78</v>
      </c>
      <c r="D11" s="42"/>
      <c r="E11" s="31">
        <f>-2-4</f>
        <v>-6</v>
      </c>
      <c r="F11" s="45"/>
      <c r="G11" s="45">
        <v>268</v>
      </c>
      <c r="H11" s="58"/>
      <c r="I11" s="31">
        <f>+E11+G11</f>
        <v>262</v>
      </c>
      <c r="J11" s="42"/>
      <c r="K11" s="42"/>
      <c r="L11" s="31">
        <f>-84+E11</f>
        <v>-90</v>
      </c>
      <c r="M11" s="45"/>
      <c r="N11" s="45">
        <f>-405+G11</f>
        <v>-137</v>
      </c>
      <c r="O11" s="58"/>
      <c r="P11" s="31">
        <f>+L11+N11</f>
        <v>-227</v>
      </c>
      <c r="Q11" s="42"/>
    </row>
    <row r="12" spans="3:16" ht="12.75" customHeight="1">
      <c r="C12" s="42" t="s">
        <v>79</v>
      </c>
      <c r="D12" s="42"/>
      <c r="E12" s="336">
        <v>57</v>
      </c>
      <c r="F12" s="336"/>
      <c r="G12" s="336">
        <v>-48</v>
      </c>
      <c r="H12" s="53"/>
      <c r="I12" s="63">
        <f>+E12+G12</f>
        <v>9</v>
      </c>
      <c r="J12" s="42"/>
      <c r="K12" s="42"/>
      <c r="L12" s="336">
        <f>85+E12</f>
        <v>142</v>
      </c>
      <c r="M12" s="336"/>
      <c r="N12" s="336">
        <f>33+G12</f>
        <v>-15</v>
      </c>
      <c r="O12" s="53"/>
      <c r="P12" s="63">
        <f>+L12+N12</f>
        <v>127</v>
      </c>
    </row>
    <row r="13" spans="3:16" ht="12.75" customHeight="1">
      <c r="C13" s="42" t="s">
        <v>176</v>
      </c>
      <c r="D13" s="42"/>
      <c r="E13" s="336">
        <v>-9</v>
      </c>
      <c r="F13" s="336"/>
      <c r="G13" s="201">
        <v>0</v>
      </c>
      <c r="H13" s="389"/>
      <c r="I13" s="63">
        <f>+E13+G13</f>
        <v>-9</v>
      </c>
      <c r="J13" s="42"/>
      <c r="K13" s="42"/>
      <c r="L13" s="336">
        <f>-14+9+E13</f>
        <v>-14</v>
      </c>
      <c r="M13" s="336"/>
      <c r="N13" s="201">
        <f>0+G13</f>
        <v>0</v>
      </c>
      <c r="O13" s="389"/>
      <c r="P13" s="63">
        <f>+L13+N13</f>
        <v>-14</v>
      </c>
    </row>
    <row r="14" spans="3:16" ht="12.75" customHeight="1">
      <c r="C14" s="42" t="s">
        <v>193</v>
      </c>
      <c r="D14" s="42"/>
      <c r="E14" s="336">
        <v>2</v>
      </c>
      <c r="F14" s="336"/>
      <c r="G14" s="201">
        <v>0</v>
      </c>
      <c r="H14" s="389"/>
      <c r="I14" s="63">
        <f>+E14+G14</f>
        <v>2</v>
      </c>
      <c r="J14" s="42"/>
      <c r="K14" s="42"/>
      <c r="L14" s="336">
        <f>1+E14</f>
        <v>3</v>
      </c>
      <c r="M14" s="336"/>
      <c r="N14" s="201">
        <f>0+G14</f>
        <v>0</v>
      </c>
      <c r="O14" s="389"/>
      <c r="P14" s="63">
        <f>+L14+N14</f>
        <v>3</v>
      </c>
    </row>
    <row r="15" spans="3:16" ht="12.75" customHeight="1">
      <c r="C15" s="42" t="s">
        <v>141</v>
      </c>
      <c r="D15" s="42"/>
      <c r="E15" s="254">
        <f>6</f>
        <v>6</v>
      </c>
      <c r="F15" s="254"/>
      <c r="G15" s="254">
        <v>4</v>
      </c>
      <c r="H15" s="254"/>
      <c r="I15" s="227">
        <f>+E15+G15</f>
        <v>10</v>
      </c>
      <c r="J15" s="42"/>
      <c r="K15" s="42"/>
      <c r="L15" s="254">
        <f>12+E15</f>
        <v>18</v>
      </c>
      <c r="M15" s="254"/>
      <c r="N15" s="254">
        <f>33+G15</f>
        <v>37</v>
      </c>
      <c r="O15" s="254"/>
      <c r="P15" s="227">
        <f>+L15+N15</f>
        <v>55</v>
      </c>
    </row>
    <row r="16" spans="3:16" ht="12.75" customHeight="1">
      <c r="C16" s="354" t="s">
        <v>406</v>
      </c>
      <c r="D16" s="42"/>
      <c r="E16" s="223">
        <f>SUM(E11:E15)</f>
        <v>50</v>
      </c>
      <c r="F16" s="223"/>
      <c r="G16" s="223">
        <f>SUM(G11:G15)</f>
        <v>224</v>
      </c>
      <c r="H16" s="223"/>
      <c r="I16" s="223">
        <f>SUM(I11:I15)</f>
        <v>274</v>
      </c>
      <c r="J16" s="355"/>
      <c r="K16" s="42"/>
      <c r="L16" s="201">
        <f>SUM(L11:L15)</f>
        <v>59</v>
      </c>
      <c r="M16" s="223"/>
      <c r="N16" s="223">
        <f>SUM(N11:N15)</f>
        <v>-115</v>
      </c>
      <c r="O16" s="223"/>
      <c r="P16" s="223">
        <f>SUM(P11:P15)</f>
        <v>-56</v>
      </c>
    </row>
    <row r="17" spans="3:16" ht="12.75" customHeight="1">
      <c r="C17" s="354" t="s">
        <v>12</v>
      </c>
      <c r="D17" s="42"/>
      <c r="E17" s="390">
        <v>-50</v>
      </c>
      <c r="F17" s="335"/>
      <c r="G17" s="580">
        <v>0</v>
      </c>
      <c r="H17" s="335"/>
      <c r="I17" s="227">
        <f>+E17+G17</f>
        <v>-50</v>
      </c>
      <c r="J17" s="354"/>
      <c r="K17" s="42"/>
      <c r="L17" s="390">
        <f>5-9+E17</f>
        <v>-54</v>
      </c>
      <c r="M17" s="335"/>
      <c r="N17" s="580">
        <f>0+G17</f>
        <v>0</v>
      </c>
      <c r="O17" s="335"/>
      <c r="P17" s="227">
        <f>+L17+N17</f>
        <v>-54</v>
      </c>
    </row>
    <row r="18" spans="3:16" ht="12.75" customHeight="1">
      <c r="C18" s="354" t="s">
        <v>238</v>
      </c>
      <c r="D18" s="33"/>
      <c r="E18" s="201">
        <f>SUM(E16:E17)</f>
        <v>0</v>
      </c>
      <c r="F18" s="255"/>
      <c r="G18" s="255">
        <f>SUM(G16:G17)</f>
        <v>224</v>
      </c>
      <c r="H18" s="255"/>
      <c r="I18" s="223">
        <f>SUM(I16:I17)</f>
        <v>224</v>
      </c>
      <c r="J18" s="355"/>
      <c r="K18" s="33"/>
      <c r="L18" s="223">
        <f>SUM(L16:L17)</f>
        <v>5</v>
      </c>
      <c r="M18" s="255"/>
      <c r="N18" s="255">
        <f>SUM(N16:N17)</f>
        <v>-115</v>
      </c>
      <c r="O18" s="255"/>
      <c r="P18" s="223">
        <f>SUM(P16:P17)</f>
        <v>-110</v>
      </c>
    </row>
    <row r="19" spans="3:16" ht="12.75" customHeight="1">
      <c r="C19" s="42" t="s">
        <v>521</v>
      </c>
      <c r="D19" s="42"/>
      <c r="E19" s="336">
        <f>+'Consolidated Results'!D26</f>
        <v>-38</v>
      </c>
      <c r="F19" s="336"/>
      <c r="G19" s="201">
        <v>0</v>
      </c>
      <c r="H19" s="389"/>
      <c r="I19" s="63">
        <f>+E19+G19</f>
        <v>-38</v>
      </c>
      <c r="J19" s="42"/>
      <c r="K19" s="42"/>
      <c r="L19" s="336">
        <f>+E19</f>
        <v>-38</v>
      </c>
      <c r="M19" s="336"/>
      <c r="N19" s="201">
        <v>0</v>
      </c>
      <c r="O19" s="389"/>
      <c r="P19" s="63">
        <f>+L19+N19</f>
        <v>-38</v>
      </c>
    </row>
    <row r="20" spans="3:16" ht="12.75" customHeight="1">
      <c r="C20" s="354" t="s">
        <v>151</v>
      </c>
      <c r="D20" s="42"/>
      <c r="E20" s="335">
        <v>-2</v>
      </c>
      <c r="F20" s="255"/>
      <c r="G20" s="580">
        <v>10</v>
      </c>
      <c r="H20" s="255"/>
      <c r="I20" s="227">
        <f>+E20+G20</f>
        <v>8</v>
      </c>
      <c r="J20" s="354"/>
      <c r="K20" s="42"/>
      <c r="L20" s="335">
        <f>-18+E20</f>
        <v>-20</v>
      </c>
      <c r="M20" s="255"/>
      <c r="N20" s="335">
        <f>-20+G20</f>
        <v>-10</v>
      </c>
      <c r="O20" s="255"/>
      <c r="P20" s="227">
        <f>+L20+N20</f>
        <v>-30</v>
      </c>
    </row>
    <row r="21" spans="3:16" ht="12.75" customHeight="1" thickBot="1">
      <c r="C21" s="354" t="s">
        <v>239</v>
      </c>
      <c r="D21" s="42"/>
      <c r="E21" s="193">
        <f>+E18+E19-E20</f>
        <v>-36</v>
      </c>
      <c r="F21" s="211"/>
      <c r="G21" s="193">
        <f>+G18+G19-G20</f>
        <v>214</v>
      </c>
      <c r="H21" s="211"/>
      <c r="I21" s="193">
        <f>+I18+I19-I20</f>
        <v>178</v>
      </c>
      <c r="J21" s="354"/>
      <c r="K21" s="42"/>
      <c r="L21" s="193">
        <f>+L18+L19-L20</f>
        <v>-13</v>
      </c>
      <c r="M21" s="211"/>
      <c r="N21" s="193">
        <f>+N18+N19-N20</f>
        <v>-105</v>
      </c>
      <c r="O21" s="211"/>
      <c r="P21" s="193">
        <f>+P18+P19-P20</f>
        <v>-118</v>
      </c>
    </row>
    <row r="22" spans="3:16" ht="6" customHeight="1" thickTop="1">
      <c r="C22" s="42"/>
      <c r="D22" s="42"/>
      <c r="E22" s="42">
        <f>+IF(E21&lt;&gt;(-'Segment  2007 Qtr'!Q26+'Segment  2007 Qtr'!Q27-'Segment  2007 Qtr'!Q28),"err","")</f>
      </c>
      <c r="F22" s="42"/>
      <c r="G22" s="62"/>
      <c r="H22" s="62"/>
      <c r="I22" s="42"/>
      <c r="J22" s="42"/>
      <c r="K22" s="42"/>
      <c r="L22" s="42">
        <f>IF(L21&lt;&gt;('Segment  2007 YTD'!Q26+'Segment  2007 YTD'!Q27-'Segment  2007 YTD'!Q28),"err","")</f>
      </c>
      <c r="M22" s="42"/>
      <c r="N22" s="62"/>
      <c r="O22" s="62"/>
      <c r="P22" s="42"/>
    </row>
    <row r="23" spans="3:23" ht="19.5" customHeight="1">
      <c r="C23" s="650" t="s">
        <v>512</v>
      </c>
      <c r="D23" s="651"/>
      <c r="E23" s="651"/>
      <c r="F23" s="651"/>
      <c r="G23" s="651"/>
      <c r="H23" s="651"/>
      <c r="I23" s="651"/>
      <c r="J23" s="651"/>
      <c r="K23" s="651"/>
      <c r="L23" s="651"/>
      <c r="M23" s="651"/>
      <c r="N23" s="651"/>
      <c r="O23" s="651"/>
      <c r="P23" s="651"/>
      <c r="R23"/>
      <c r="S23"/>
      <c r="T23"/>
      <c r="U23"/>
      <c r="V23"/>
      <c r="W23"/>
    </row>
    <row r="24" spans="3:23" ht="15.75" customHeight="1">
      <c r="C24" s="650" t="s">
        <v>520</v>
      </c>
      <c r="D24" s="651"/>
      <c r="E24" s="651"/>
      <c r="F24" s="651"/>
      <c r="G24" s="651"/>
      <c r="H24" s="651"/>
      <c r="I24" s="651"/>
      <c r="J24" s="651"/>
      <c r="K24" s="651"/>
      <c r="L24" s="651"/>
      <c r="M24" s="651"/>
      <c r="N24" s="651"/>
      <c r="O24" s="651"/>
      <c r="P24" s="651"/>
      <c r="R24"/>
      <c r="S24"/>
      <c r="T24"/>
      <c r="U24"/>
      <c r="V24"/>
      <c r="W24"/>
    </row>
    <row r="25" spans="1:23" ht="12.75">
      <c r="A25" s="42"/>
      <c r="B25" s="42"/>
      <c r="C25" s="42"/>
      <c r="D25" s="42"/>
      <c r="E25" s="100" t="s">
        <v>449</v>
      </c>
      <c r="F25" s="100"/>
      <c r="G25" s="100"/>
      <c r="H25" s="100"/>
      <c r="I25" s="100"/>
      <c r="K25" s="2"/>
      <c r="L25" s="100" t="s">
        <v>451</v>
      </c>
      <c r="M25" s="100"/>
      <c r="N25" s="100"/>
      <c r="O25" s="100"/>
      <c r="P25" s="100"/>
      <c r="R25"/>
      <c r="S25"/>
      <c r="T25"/>
      <c r="U25"/>
      <c r="V25"/>
      <c r="W25"/>
    </row>
    <row r="26" spans="1:23" ht="12.75">
      <c r="A26" s="42"/>
      <c r="B26" s="42"/>
      <c r="C26" s="42"/>
      <c r="D26" s="75"/>
      <c r="E26" s="253" t="s">
        <v>170</v>
      </c>
      <c r="F26" s="253"/>
      <c r="G26" s="253" t="s">
        <v>171</v>
      </c>
      <c r="H26" s="253"/>
      <c r="I26" s="42"/>
      <c r="J26" s="42"/>
      <c r="K26" s="42"/>
      <c r="L26" s="2" t="s">
        <v>170</v>
      </c>
      <c r="M26" s="2"/>
      <c r="N26" s="253" t="s">
        <v>171</v>
      </c>
      <c r="O26" s="253"/>
      <c r="R26"/>
      <c r="S26"/>
      <c r="T26"/>
      <c r="U26"/>
      <c r="V26"/>
      <c r="W26"/>
    </row>
    <row r="27" spans="1:23" ht="12.75">
      <c r="A27" s="42"/>
      <c r="B27" s="42"/>
      <c r="C27" s="42"/>
      <c r="D27" s="75"/>
      <c r="E27" s="253" t="s">
        <v>234</v>
      </c>
      <c r="F27" s="253"/>
      <c r="G27" s="253" t="s">
        <v>234</v>
      </c>
      <c r="H27" s="253"/>
      <c r="I27" s="253" t="s">
        <v>86</v>
      </c>
      <c r="J27" s="42"/>
      <c r="K27" s="42"/>
      <c r="L27" s="2" t="s">
        <v>234</v>
      </c>
      <c r="M27" s="2"/>
      <c r="N27" s="2" t="s">
        <v>234</v>
      </c>
      <c r="O27" s="253"/>
      <c r="P27" s="253" t="s">
        <v>86</v>
      </c>
      <c r="R27"/>
      <c r="S27"/>
      <c r="T27"/>
      <c r="U27"/>
      <c r="V27"/>
      <c r="W27"/>
    </row>
    <row r="28" spans="1:23" ht="12.75">
      <c r="A28" s="42"/>
      <c r="B28" s="42"/>
      <c r="C28" s="42"/>
      <c r="D28" s="42"/>
      <c r="E28" s="60" t="s">
        <v>522</v>
      </c>
      <c r="F28" s="60"/>
      <c r="G28" s="60" t="s">
        <v>236</v>
      </c>
      <c r="H28" s="60"/>
      <c r="I28" s="60" t="s">
        <v>172</v>
      </c>
      <c r="J28" s="42"/>
      <c r="K28" s="42"/>
      <c r="L28" s="4" t="s">
        <v>522</v>
      </c>
      <c r="M28" s="4"/>
      <c r="N28" s="60" t="s">
        <v>236</v>
      </c>
      <c r="O28" s="60"/>
      <c r="P28" s="60" t="s">
        <v>172</v>
      </c>
      <c r="R28"/>
      <c r="S28"/>
      <c r="T28"/>
      <c r="U28"/>
      <c r="V28"/>
      <c r="W28"/>
    </row>
    <row r="29" spans="1:23" ht="4.5" customHeight="1">
      <c r="A29" s="42"/>
      <c r="B29" s="42"/>
      <c r="C29" s="42"/>
      <c r="D29" s="42"/>
      <c r="E29" s="42"/>
      <c r="F29" s="42"/>
      <c r="G29" s="62"/>
      <c r="H29" s="62"/>
      <c r="I29" s="42"/>
      <c r="J29" s="42"/>
      <c r="K29" s="42"/>
      <c r="M29" s="1"/>
      <c r="N29" s="62"/>
      <c r="O29" s="62"/>
      <c r="P29" s="42"/>
      <c r="R29"/>
      <c r="S29"/>
      <c r="T29"/>
      <c r="U29"/>
      <c r="V29"/>
      <c r="W29"/>
    </row>
    <row r="30" spans="1:28" ht="12.75" customHeight="1">
      <c r="A30" s="42"/>
      <c r="B30" s="42"/>
      <c r="C30" s="42" t="s">
        <v>78</v>
      </c>
      <c r="D30" s="42"/>
      <c r="E30" s="31">
        <v>-116</v>
      </c>
      <c r="F30" s="45"/>
      <c r="G30" s="45">
        <v>559</v>
      </c>
      <c r="H30" s="58"/>
      <c r="I30" s="31">
        <f>+E30+G30</f>
        <v>443</v>
      </c>
      <c r="J30" s="42"/>
      <c r="K30" s="42"/>
      <c r="L30" s="31">
        <f>-125+E30</f>
        <v>-241</v>
      </c>
      <c r="M30" s="45"/>
      <c r="N30" s="45">
        <f>-429+G30</f>
        <v>130</v>
      </c>
      <c r="O30" s="58"/>
      <c r="P30" s="31">
        <f>+L30+N30</f>
        <v>-111</v>
      </c>
      <c r="Q30" s="328"/>
      <c r="X30" s="63"/>
      <c r="Y30" s="63"/>
      <c r="Z30" s="63"/>
      <c r="AA30" s="63"/>
      <c r="AB30" s="63"/>
    </row>
    <row r="31" spans="1:28" ht="12.75" customHeight="1">
      <c r="A31" s="42"/>
      <c r="B31" s="42"/>
      <c r="C31" s="42" t="s">
        <v>79</v>
      </c>
      <c r="D31" s="42"/>
      <c r="E31" s="336">
        <v>24</v>
      </c>
      <c r="F31" s="336"/>
      <c r="G31" s="336">
        <v>55</v>
      </c>
      <c r="H31" s="53"/>
      <c r="I31" s="63">
        <f>+E31+G31</f>
        <v>79</v>
      </c>
      <c r="J31" s="42"/>
      <c r="K31" s="42"/>
      <c r="L31" s="336">
        <f>100+E31</f>
        <v>124</v>
      </c>
      <c r="M31" s="336"/>
      <c r="N31" s="336">
        <f>24-50+G31</f>
        <v>29</v>
      </c>
      <c r="O31" s="53"/>
      <c r="P31" s="63">
        <f>+L31+N31</f>
        <v>153</v>
      </c>
      <c r="Q31" s="7"/>
      <c r="X31" s="63"/>
      <c r="Y31" s="63"/>
      <c r="Z31" s="63"/>
      <c r="AA31" s="63"/>
      <c r="AB31" s="63"/>
    </row>
    <row r="32" spans="1:28" ht="12.75" customHeight="1">
      <c r="A32" s="42"/>
      <c r="B32" s="42"/>
      <c r="C32" s="42" t="s">
        <v>176</v>
      </c>
      <c r="D32" s="42"/>
      <c r="E32" s="336">
        <v>-25</v>
      </c>
      <c r="F32" s="336"/>
      <c r="G32" s="201">
        <v>0</v>
      </c>
      <c r="H32" s="389"/>
      <c r="I32" s="63">
        <f>+E32+G32</f>
        <v>-25</v>
      </c>
      <c r="J32" s="42"/>
      <c r="K32" s="42"/>
      <c r="L32" s="336">
        <f>20+E32</f>
        <v>-5</v>
      </c>
      <c r="M32" s="336"/>
      <c r="N32" s="201">
        <f>0+G32</f>
        <v>0</v>
      </c>
      <c r="O32" s="389"/>
      <c r="P32" s="63">
        <f>+L32+N32</f>
        <v>-5</v>
      </c>
      <c r="Q32" s="7"/>
      <c r="X32" s="63"/>
      <c r="Y32" s="63"/>
      <c r="Z32" s="63"/>
      <c r="AA32" s="63"/>
      <c r="AB32" s="63"/>
    </row>
    <row r="33" spans="1:28" ht="12.75" customHeight="1">
      <c r="A33" s="42"/>
      <c r="B33" s="42"/>
      <c r="C33" s="42" t="s">
        <v>193</v>
      </c>
      <c r="D33" s="42"/>
      <c r="E33" s="336">
        <v>-4</v>
      </c>
      <c r="F33" s="336"/>
      <c r="G33" s="201">
        <v>0</v>
      </c>
      <c r="H33" s="389"/>
      <c r="I33" s="63">
        <f>+E33+G33</f>
        <v>-4</v>
      </c>
      <c r="J33" s="42"/>
      <c r="K33" s="42"/>
      <c r="L33" s="336">
        <f>-7+E33</f>
        <v>-11</v>
      </c>
      <c r="M33" s="336"/>
      <c r="N33" s="201">
        <f>0+G33</f>
        <v>0</v>
      </c>
      <c r="O33" s="389"/>
      <c r="P33" s="63">
        <f>+L33+N33</f>
        <v>-11</v>
      </c>
      <c r="Q33" s="7"/>
      <c r="X33" s="63"/>
      <c r="Y33" s="63"/>
      <c r="Z33" s="63"/>
      <c r="AA33" s="63"/>
      <c r="AB33" s="63"/>
    </row>
    <row r="34" spans="1:28" ht="12.75" customHeight="1">
      <c r="A34" s="42"/>
      <c r="B34" s="42"/>
      <c r="C34" s="42" t="s">
        <v>141</v>
      </c>
      <c r="D34" s="42"/>
      <c r="E34" s="580">
        <v>0</v>
      </c>
      <c r="F34" s="254"/>
      <c r="G34" s="254">
        <v>9</v>
      </c>
      <c r="H34" s="254"/>
      <c r="I34" s="227">
        <f>+E34+G34</f>
        <v>9</v>
      </c>
      <c r="J34" s="42"/>
      <c r="K34" s="42"/>
      <c r="L34" s="254">
        <f>2+E34</f>
        <v>2</v>
      </c>
      <c r="M34" s="254"/>
      <c r="N34" s="254">
        <f>9+50+G34</f>
        <v>68</v>
      </c>
      <c r="O34" s="254"/>
      <c r="P34" s="227">
        <f>+L34+N34</f>
        <v>70</v>
      </c>
      <c r="Q34" s="7"/>
      <c r="X34" s="63"/>
      <c r="Y34" s="63"/>
      <c r="Z34" s="63"/>
      <c r="AA34" s="63"/>
      <c r="AB34" s="63"/>
    </row>
    <row r="35" spans="1:28" ht="12.75" customHeight="1">
      <c r="A35" s="42"/>
      <c r="B35" s="42"/>
      <c r="C35" s="354" t="s">
        <v>237</v>
      </c>
      <c r="D35" s="42"/>
      <c r="E35" s="223">
        <f>SUM(E30:E34)</f>
        <v>-121</v>
      </c>
      <c r="F35" s="223"/>
      <c r="G35" s="223">
        <f>SUM(G30:G34)</f>
        <v>623</v>
      </c>
      <c r="H35" s="223"/>
      <c r="I35" s="223">
        <f>SUM(I30:I34)</f>
        <v>502</v>
      </c>
      <c r="J35" s="31"/>
      <c r="K35" s="42"/>
      <c r="L35" s="223">
        <f>SUM(L30:L34)</f>
        <v>-131</v>
      </c>
      <c r="M35" s="223"/>
      <c r="N35" s="223">
        <f>SUM(N30:N34)</f>
        <v>227</v>
      </c>
      <c r="O35" s="223"/>
      <c r="P35" s="223">
        <f>SUM(P30:P34)</f>
        <v>96</v>
      </c>
      <c r="Q35" s="7"/>
      <c r="X35" s="63"/>
      <c r="Y35" s="63"/>
      <c r="Z35" s="63"/>
      <c r="AA35" s="63"/>
      <c r="AB35" s="63"/>
    </row>
    <row r="36" spans="1:28" ht="12.75" customHeight="1">
      <c r="A36" s="42"/>
      <c r="B36" s="42"/>
      <c r="C36" s="597" t="s">
        <v>509</v>
      </c>
      <c r="D36" s="42"/>
      <c r="E36" s="223">
        <v>9</v>
      </c>
      <c r="F36" s="223"/>
      <c r="G36" s="201">
        <v>0</v>
      </c>
      <c r="H36" s="223"/>
      <c r="I36" s="63">
        <f>+E36+G36</f>
        <v>9</v>
      </c>
      <c r="J36" s="31"/>
      <c r="K36" s="42"/>
      <c r="L36" s="223">
        <f>+E36</f>
        <v>9</v>
      </c>
      <c r="M36" s="223"/>
      <c r="N36" s="201">
        <f>0+G36</f>
        <v>0</v>
      </c>
      <c r="O36" s="223"/>
      <c r="P36" s="63">
        <f>+L36+N36</f>
        <v>9</v>
      </c>
      <c r="Q36" s="7"/>
      <c r="X36" s="63"/>
      <c r="Y36" s="63"/>
      <c r="Z36" s="63"/>
      <c r="AA36" s="63"/>
      <c r="AB36" s="63"/>
    </row>
    <row r="37" spans="1:28" ht="12.75" customHeight="1">
      <c r="A37" s="42"/>
      <c r="B37" s="42"/>
      <c r="C37" s="354" t="s">
        <v>12</v>
      </c>
      <c r="D37" s="42"/>
      <c r="E37" s="390">
        <v>-1</v>
      </c>
      <c r="F37" s="335"/>
      <c r="G37" s="580">
        <v>0</v>
      </c>
      <c r="H37" s="335"/>
      <c r="I37" s="227">
        <f>+E37+G37</f>
        <v>-1</v>
      </c>
      <c r="J37" s="42"/>
      <c r="K37" s="42"/>
      <c r="L37" s="390">
        <f>10+E37</f>
        <v>9</v>
      </c>
      <c r="M37" s="335"/>
      <c r="N37" s="580">
        <f>0+G37</f>
        <v>0</v>
      </c>
      <c r="O37" s="335"/>
      <c r="P37" s="227">
        <f>+L37+N37</f>
        <v>9</v>
      </c>
      <c r="Q37" s="7"/>
      <c r="X37" s="63"/>
      <c r="Y37" s="63"/>
      <c r="Z37" s="63"/>
      <c r="AA37" s="63"/>
      <c r="AB37" s="63"/>
    </row>
    <row r="38" spans="1:28" ht="12.75" customHeight="1">
      <c r="A38" s="42"/>
      <c r="B38" s="42"/>
      <c r="C38" s="354" t="s">
        <v>195</v>
      </c>
      <c r="D38" s="33"/>
      <c r="E38" s="223">
        <f>SUM(E35:E37)</f>
        <v>-113</v>
      </c>
      <c r="F38" s="255"/>
      <c r="G38" s="255">
        <f>SUM(G35:G37)</f>
        <v>623</v>
      </c>
      <c r="H38" s="255"/>
      <c r="I38" s="223">
        <f>SUM(I35:I37)</f>
        <v>510</v>
      </c>
      <c r="J38" s="355"/>
      <c r="K38" s="33"/>
      <c r="L38" s="201">
        <f>SUM(L35:L37)</f>
        <v>-113</v>
      </c>
      <c r="M38" s="255"/>
      <c r="N38" s="255">
        <f>SUM(N35:N37)</f>
        <v>227</v>
      </c>
      <c r="O38" s="255"/>
      <c r="P38" s="223">
        <f>SUM(P35:P37)</f>
        <v>114</v>
      </c>
      <c r="Q38" s="180"/>
      <c r="X38" s="63"/>
      <c r="Y38" s="63"/>
      <c r="Z38" s="63"/>
      <c r="AA38" s="63"/>
      <c r="AB38" s="63"/>
    </row>
    <row r="39" spans="1:28" ht="12.75" customHeight="1">
      <c r="A39" s="42"/>
      <c r="B39" s="42"/>
      <c r="C39" s="354" t="s">
        <v>151</v>
      </c>
      <c r="D39" s="42"/>
      <c r="E39" s="335">
        <v>-39</v>
      </c>
      <c r="F39" s="255"/>
      <c r="G39" s="335">
        <v>111</v>
      </c>
      <c r="H39" s="255"/>
      <c r="I39" s="227">
        <f>+E39+G39</f>
        <v>72</v>
      </c>
      <c r="J39" s="42"/>
      <c r="K39" s="42"/>
      <c r="L39" s="335">
        <f>-2+E39</f>
        <v>-41</v>
      </c>
      <c r="M39" s="255"/>
      <c r="N39" s="335">
        <f>-67+G39</f>
        <v>44</v>
      </c>
      <c r="O39" s="255"/>
      <c r="P39" s="227">
        <f>+L39+N39</f>
        <v>3</v>
      </c>
      <c r="Q39" s="180"/>
      <c r="X39" s="63"/>
      <c r="Y39" s="63"/>
      <c r="Z39" s="63"/>
      <c r="AA39" s="63"/>
      <c r="AB39" s="63"/>
    </row>
    <row r="40" spans="1:28" ht="12.75" customHeight="1" thickBot="1">
      <c r="A40" s="42"/>
      <c r="B40" s="42"/>
      <c r="C40" s="354" t="s">
        <v>239</v>
      </c>
      <c r="D40" s="42"/>
      <c r="E40" s="193">
        <f>+E38-E39</f>
        <v>-74</v>
      </c>
      <c r="F40" s="211"/>
      <c r="G40" s="193">
        <f>+G38-G39</f>
        <v>512</v>
      </c>
      <c r="H40" s="211"/>
      <c r="I40" s="193">
        <f>+I38-I39</f>
        <v>438</v>
      </c>
      <c r="J40" s="42"/>
      <c r="K40" s="42"/>
      <c r="L40" s="193">
        <f>+L38-L39</f>
        <v>-72</v>
      </c>
      <c r="M40" s="211"/>
      <c r="N40" s="193">
        <f>+N38-N39</f>
        <v>183</v>
      </c>
      <c r="O40" s="211"/>
      <c r="P40" s="193">
        <f>+P38-P39</f>
        <v>111</v>
      </c>
      <c r="Q40" s="180"/>
      <c r="X40" s="63"/>
      <c r="Y40" s="63"/>
      <c r="Z40" s="63"/>
      <c r="AA40" s="63"/>
      <c r="AB40" s="63"/>
    </row>
    <row r="41" spans="1:24" ht="6.75" customHeight="1" thickTop="1">
      <c r="A41" s="42"/>
      <c r="B41" s="42"/>
      <c r="C41" s="42"/>
      <c r="D41" s="42"/>
      <c r="E41" s="42"/>
      <c r="F41" s="42"/>
      <c r="G41" s="62"/>
      <c r="H41" s="62"/>
      <c r="I41" s="42"/>
      <c r="J41" s="42"/>
      <c r="K41" s="42"/>
      <c r="L41" s="42"/>
      <c r="M41" s="42"/>
      <c r="N41" s="62"/>
      <c r="O41" s="62"/>
      <c r="P41" s="42"/>
      <c r="Q41" s="180"/>
      <c r="R41"/>
      <c r="S41"/>
      <c r="T41"/>
      <c r="U41"/>
      <c r="V41"/>
      <c r="W41"/>
      <c r="X41" s="7"/>
    </row>
    <row r="42" spans="3:24" s="236" customFormat="1" ht="18.75" customHeight="1">
      <c r="C42" s="650" t="s">
        <v>523</v>
      </c>
      <c r="D42" s="651"/>
      <c r="E42" s="651"/>
      <c r="F42" s="651"/>
      <c r="G42" s="651"/>
      <c r="H42" s="651"/>
      <c r="I42" s="651"/>
      <c r="J42" s="651"/>
      <c r="K42" s="651"/>
      <c r="L42" s="651"/>
      <c r="M42" s="651"/>
      <c r="N42" s="651"/>
      <c r="O42" s="651"/>
      <c r="P42" s="651"/>
      <c r="Q42" s="180"/>
      <c r="R42"/>
      <c r="S42"/>
      <c r="T42"/>
      <c r="U42"/>
      <c r="V42"/>
      <c r="W42"/>
      <c r="X42" s="432"/>
    </row>
    <row r="43" spans="17:24" s="236" customFormat="1" ht="18.75" customHeight="1">
      <c r="Q43" s="180"/>
      <c r="R43"/>
      <c r="S43"/>
      <c r="T43"/>
      <c r="U43"/>
      <c r="V43"/>
      <c r="W43"/>
      <c r="X43" s="432"/>
    </row>
    <row r="44" spans="17:24" ht="11.25">
      <c r="Q44" s="7"/>
      <c r="R44" s="7"/>
      <c r="S44" s="7"/>
      <c r="T44" s="7"/>
      <c r="U44" s="7"/>
      <c r="V44" s="7"/>
      <c r="W44" s="7"/>
      <c r="X44" s="7"/>
    </row>
    <row r="65" spans="7:14" ht="11.25">
      <c r="G65" s="23">
        <f>+G18</f>
        <v>224</v>
      </c>
      <c r="N65" s="1">
        <f>+N16</f>
        <v>-115</v>
      </c>
    </row>
    <row r="66" spans="7:14" ht="11.25">
      <c r="G66" s="23">
        <f>+'Comprehensive Income'!H11+'Comprehensive Income'!H13</f>
        <v>224</v>
      </c>
      <c r="N66" s="23">
        <f>+'Comprehensive Income'!N11+'Comprehensive Income'!N13</f>
        <v>-115</v>
      </c>
    </row>
    <row r="67" ht="11.25">
      <c r="N67" s="23"/>
    </row>
    <row r="68" spans="7:14" ht="11.25">
      <c r="G68" s="23">
        <f>+'Comprehensive Income'!L11+'Comprehensive Income'!L13</f>
        <v>623</v>
      </c>
      <c r="N68" s="23">
        <f>+'Comprehensive Income'!P11+'Comprehensive Income'!P13</f>
        <v>227</v>
      </c>
    </row>
    <row r="69" spans="7:14" ht="11.25">
      <c r="G69" s="23">
        <f>+G38</f>
        <v>623</v>
      </c>
      <c r="N69" s="1">
        <f>+N38</f>
        <v>227</v>
      </c>
    </row>
  </sheetData>
  <mergeCells count="7">
    <mergeCell ref="C42:P42"/>
    <mergeCell ref="C23:P23"/>
    <mergeCell ref="C24:P24"/>
    <mergeCell ref="A1:P1"/>
    <mergeCell ref="A2:P2"/>
    <mergeCell ref="A3:P3"/>
    <mergeCell ref="A4:P4"/>
  </mergeCells>
  <printOptions/>
  <pageMargins left="0.5" right="0.5" top="0.5" bottom="0.55" header="0.75" footer="0.3"/>
  <pageSetup horizontalDpi="600" verticalDpi="600" orientation="landscape" r:id="rId2"/>
  <headerFooter alignWithMargins="0">
    <oddFooter>&amp;L&amp;A&amp;R&amp;"Arial,Regular"&amp;8Page 18</oddFooter>
  </headerFooter>
  <ignoredErrors>
    <ignoredError sqref="I16 I18 P16 P18 P35 P38 I38 I35" formula="1"/>
  </ignoredErrors>
  <drawing r:id="rId1"/>
</worksheet>
</file>

<file path=xl/worksheets/sheet21.xml><?xml version="1.0" encoding="utf-8"?>
<worksheet xmlns="http://schemas.openxmlformats.org/spreadsheetml/2006/main" xmlns:r="http://schemas.openxmlformats.org/officeDocument/2006/relationships">
  <sheetPr codeName="Sheet27"/>
  <dimension ref="A1:N34"/>
  <sheetViews>
    <sheetView workbookViewId="0" topLeftCell="A1">
      <selection activeCell="A1" sqref="A1:L1"/>
    </sheetView>
  </sheetViews>
  <sheetFormatPr defaultColWidth="9.33203125" defaultRowHeight="12.75"/>
  <cols>
    <col min="1" max="1" width="2.83203125" style="1" customWidth="1"/>
    <col min="2" max="2" width="3.16015625" style="1" customWidth="1"/>
    <col min="3" max="3" width="42.83203125" style="1" customWidth="1"/>
    <col min="4" max="4" width="13.83203125" style="1" customWidth="1"/>
    <col min="5" max="5" width="2.83203125" style="1" customWidth="1"/>
    <col min="6" max="6" width="13.83203125" style="1" customWidth="1"/>
    <col min="7" max="7" width="2.83203125" style="1" customWidth="1"/>
    <col min="8" max="8" width="13.83203125" style="1" customWidth="1"/>
    <col min="9" max="9" width="2.83203125" style="1" customWidth="1"/>
    <col min="10" max="10" width="13.83203125" style="1" customWidth="1"/>
    <col min="11" max="11" width="2.83203125" style="1" customWidth="1"/>
    <col min="12" max="12" width="13.83203125" style="1" customWidth="1"/>
    <col min="13" max="13" width="2.83203125" style="1" customWidth="1"/>
    <col min="14" max="14" width="12.66015625" style="1" customWidth="1"/>
    <col min="15" max="16384" width="8.16015625" style="1" customWidth="1"/>
  </cols>
  <sheetData>
    <row r="1" spans="1:14" ht="12.75">
      <c r="A1" s="626" t="s">
        <v>89</v>
      </c>
      <c r="B1" s="626"/>
      <c r="C1" s="626"/>
      <c r="D1" s="626"/>
      <c r="E1" s="626"/>
      <c r="F1" s="626"/>
      <c r="G1" s="626"/>
      <c r="H1" s="626"/>
      <c r="I1" s="626"/>
      <c r="J1" s="626"/>
      <c r="K1" s="626"/>
      <c r="L1" s="626"/>
      <c r="M1" s="158"/>
      <c r="N1" s="158"/>
    </row>
    <row r="2" spans="1:14" ht="11.25" customHeight="1">
      <c r="A2" s="652" t="s">
        <v>154</v>
      </c>
      <c r="B2" s="652"/>
      <c r="C2" s="652"/>
      <c r="D2" s="652"/>
      <c r="E2" s="652"/>
      <c r="F2" s="652"/>
      <c r="G2" s="652"/>
      <c r="H2" s="652"/>
      <c r="I2" s="652"/>
      <c r="J2" s="652"/>
      <c r="K2" s="652"/>
      <c r="L2" s="652"/>
      <c r="M2" s="158"/>
      <c r="N2" s="158"/>
    </row>
    <row r="3" spans="1:14" ht="11.25" customHeight="1">
      <c r="A3" s="602" t="s">
        <v>147</v>
      </c>
      <c r="B3" s="602"/>
      <c r="C3" s="602"/>
      <c r="D3" s="602"/>
      <c r="E3" s="602"/>
      <c r="F3" s="602"/>
      <c r="G3" s="602"/>
      <c r="H3" s="602"/>
      <c r="I3" s="602"/>
      <c r="J3" s="602"/>
      <c r="K3" s="602"/>
      <c r="L3" s="602"/>
      <c r="M3" s="158"/>
      <c r="N3" s="158"/>
    </row>
    <row r="4" spans="1:14" ht="11.25" customHeight="1">
      <c r="A4" s="602" t="s">
        <v>163</v>
      </c>
      <c r="B4" s="602"/>
      <c r="C4" s="602"/>
      <c r="D4" s="602"/>
      <c r="E4" s="602"/>
      <c r="F4" s="602"/>
      <c r="G4" s="602"/>
      <c r="H4" s="602"/>
      <c r="I4" s="602"/>
      <c r="J4" s="602"/>
      <c r="K4" s="602"/>
      <c r="L4" s="602"/>
      <c r="M4" s="158"/>
      <c r="N4" s="158"/>
    </row>
    <row r="5" spans="3:12" ht="12">
      <c r="C5" s="501"/>
      <c r="D5" s="501"/>
      <c r="E5" s="501"/>
      <c r="G5" s="501"/>
      <c r="J5" s="7"/>
      <c r="K5" s="7"/>
      <c r="L5" s="7"/>
    </row>
    <row r="6" spans="3:12" ht="11.25" customHeight="1">
      <c r="C6" s="500"/>
      <c r="D6" s="500"/>
      <c r="E6" s="500"/>
      <c r="G6" s="500"/>
      <c r="J6" s="7"/>
      <c r="K6" s="7"/>
      <c r="L6" s="7"/>
    </row>
    <row r="7" spans="3:14" ht="11.25">
      <c r="C7" s="61"/>
      <c r="D7" s="220">
        <v>39355</v>
      </c>
      <c r="E7" s="61"/>
      <c r="F7" s="220">
        <v>39263</v>
      </c>
      <c r="H7" s="220">
        <v>39172</v>
      </c>
      <c r="I7" s="61"/>
      <c r="J7" s="220" t="s">
        <v>207</v>
      </c>
      <c r="K7" s="61"/>
      <c r="L7" s="220">
        <v>38717</v>
      </c>
      <c r="N7" s="220"/>
    </row>
    <row r="8" spans="3:14" ht="11.25">
      <c r="C8" s="61"/>
      <c r="D8" s="270">
        <v>2007</v>
      </c>
      <c r="E8" s="61"/>
      <c r="F8" s="270">
        <v>2007</v>
      </c>
      <c r="H8" s="270">
        <v>2007</v>
      </c>
      <c r="I8" s="61"/>
      <c r="J8" s="270">
        <v>2006</v>
      </c>
      <c r="K8" s="61"/>
      <c r="L8" s="270">
        <v>2005</v>
      </c>
      <c r="N8" s="270"/>
    </row>
    <row r="9" spans="3:14" ht="11.25">
      <c r="C9" s="61"/>
      <c r="D9" s="333"/>
      <c r="E9" s="61"/>
      <c r="F9" s="333"/>
      <c r="H9" s="333"/>
      <c r="I9" s="61"/>
      <c r="J9" s="333"/>
      <c r="K9" s="61"/>
      <c r="L9" s="333"/>
      <c r="N9" s="121"/>
    </row>
    <row r="10" spans="3:14" ht="11.25">
      <c r="C10" s="61" t="s">
        <v>77</v>
      </c>
      <c r="D10" s="248">
        <f>'Consol Bal Sheet'!E38</f>
        <v>87</v>
      </c>
      <c r="E10" s="61"/>
      <c r="F10" s="248">
        <f>'Consol Bal Sheet'!G38</f>
        <v>85</v>
      </c>
      <c r="H10" s="248">
        <f>'Consol Bal Sheet'!I38</f>
        <v>581</v>
      </c>
      <c r="I10" s="61"/>
      <c r="J10" s="248">
        <f>'Consol Bal Sheet'!K38</f>
        <v>578</v>
      </c>
      <c r="K10" s="61"/>
      <c r="L10" s="248">
        <v>300</v>
      </c>
      <c r="N10" s="248"/>
    </row>
    <row r="11" spans="3:14" ht="11.25">
      <c r="C11" s="219" t="s">
        <v>247</v>
      </c>
      <c r="D11" s="336">
        <f>'Consol Bal Sheet'!E39</f>
        <v>2068</v>
      </c>
      <c r="E11" s="219"/>
      <c r="F11" s="336">
        <f>'Consol Bal Sheet'!G39</f>
        <v>2063</v>
      </c>
      <c r="H11" s="336">
        <f>'Consol Bal Sheet'!I39</f>
        <v>2061</v>
      </c>
      <c r="I11" s="219"/>
      <c r="J11" s="336">
        <f>'Consol Bal Sheet'!K39</f>
        <v>1560</v>
      </c>
      <c r="K11" s="219"/>
      <c r="L11" s="336">
        <v>1811</v>
      </c>
      <c r="N11" s="387"/>
    </row>
    <row r="12" spans="3:14" ht="12" thickBot="1">
      <c r="C12" s="218" t="s">
        <v>9</v>
      </c>
      <c r="D12" s="505">
        <f>+D10+D11</f>
        <v>2155</v>
      </c>
      <c r="E12" s="218"/>
      <c r="F12" s="505">
        <f>+F10+F11</f>
        <v>2148</v>
      </c>
      <c r="H12" s="505">
        <f>+H10+H11</f>
        <v>2642</v>
      </c>
      <c r="I12" s="218"/>
      <c r="J12" s="505">
        <f>+J10+J11</f>
        <v>2138</v>
      </c>
      <c r="K12" s="218"/>
      <c r="L12" s="505">
        <v>2111</v>
      </c>
      <c r="N12" s="351"/>
    </row>
    <row r="13" spans="3:14" ht="12" thickTop="1">
      <c r="C13" s="219"/>
      <c r="D13" s="351"/>
      <c r="E13" s="219"/>
      <c r="F13" s="351"/>
      <c r="H13" s="351"/>
      <c r="I13" s="219"/>
      <c r="J13" s="351"/>
      <c r="K13" s="219"/>
      <c r="L13" s="351"/>
      <c r="N13" s="351"/>
    </row>
    <row r="14" spans="3:14" ht="13.5" customHeight="1" thickBot="1">
      <c r="C14" s="218" t="s">
        <v>389</v>
      </c>
      <c r="D14" s="506">
        <f>'Consol Bal Sheet'!E40</f>
        <v>309</v>
      </c>
      <c r="E14" s="218"/>
      <c r="F14" s="506">
        <f>'Consol Bal Sheet'!G40</f>
        <v>309</v>
      </c>
      <c r="H14" s="506">
        <f>'Consol Bal Sheet'!I40</f>
        <v>309</v>
      </c>
      <c r="I14" s="218"/>
      <c r="J14" s="506">
        <f>'Consol Bal Sheet'!K40</f>
        <v>309</v>
      </c>
      <c r="K14" s="218"/>
      <c r="L14" s="506">
        <v>309</v>
      </c>
      <c r="N14" s="351"/>
    </row>
    <row r="15" spans="3:14" ht="12" thickTop="1">
      <c r="C15" s="219"/>
      <c r="D15" s="351"/>
      <c r="E15" s="219"/>
      <c r="F15" s="351"/>
      <c r="H15" s="351"/>
      <c r="I15" s="219"/>
      <c r="J15" s="351"/>
      <c r="K15" s="219"/>
      <c r="L15" s="351"/>
      <c r="N15" s="351"/>
    </row>
    <row r="16" spans="3:14" ht="12.75" customHeight="1">
      <c r="C16" s="219" t="s">
        <v>396</v>
      </c>
      <c r="D16" s="351">
        <v>557</v>
      </c>
      <c r="E16" s="219"/>
      <c r="F16" s="351">
        <v>557</v>
      </c>
      <c r="H16" s="351">
        <v>557</v>
      </c>
      <c r="I16" s="219"/>
      <c r="J16" s="351">
        <v>557</v>
      </c>
      <c r="K16" s="219"/>
      <c r="L16" s="351">
        <v>557</v>
      </c>
      <c r="N16" s="351"/>
    </row>
    <row r="17" spans="3:14" ht="12.75" customHeight="1">
      <c r="C17" s="219" t="s">
        <v>217</v>
      </c>
      <c r="D17" s="388">
        <f>'Consol Bal Sheet'!E46-'Capital Structure'!D16</f>
        <v>15478</v>
      </c>
      <c r="E17" s="219"/>
      <c r="F17" s="388">
        <f>'Consol Bal Sheet'!G46-'Capital Structure'!F16</f>
        <v>14627</v>
      </c>
      <c r="H17" s="388">
        <f>'Consol Bal Sheet'!I46-'Capital Structure'!H16</f>
        <v>14402</v>
      </c>
      <c r="I17" s="219"/>
      <c r="J17" s="388">
        <f>'Consol Bal Sheet'!K46-'Capital Structure'!J16</f>
        <v>13721</v>
      </c>
      <c r="K17" s="219"/>
      <c r="L17" s="388">
        <v>11255</v>
      </c>
      <c r="N17" s="388"/>
    </row>
    <row r="18" spans="3:14" ht="12.75" customHeight="1" thickBot="1">
      <c r="C18" s="219" t="s">
        <v>66</v>
      </c>
      <c r="D18" s="211">
        <f>SUM(D16:D17)</f>
        <v>16035</v>
      </c>
      <c r="E18" s="219"/>
      <c r="F18" s="211">
        <f>SUM(F16:F17)</f>
        <v>15184</v>
      </c>
      <c r="H18" s="211">
        <f>SUM(H16:H17)</f>
        <v>14959</v>
      </c>
      <c r="I18" s="219"/>
      <c r="J18" s="211">
        <f>SUM(J16:J17)</f>
        <v>14278</v>
      </c>
      <c r="K18" s="219"/>
      <c r="L18" s="211">
        <v>11812</v>
      </c>
      <c r="N18" s="212"/>
    </row>
    <row r="19" spans="3:14" ht="12" thickTop="1">
      <c r="C19" s="61"/>
      <c r="D19" s="62"/>
      <c r="E19" s="61"/>
      <c r="F19" s="62"/>
      <c r="H19" s="62"/>
      <c r="I19" s="61"/>
      <c r="J19" s="62"/>
      <c r="K19" s="61"/>
      <c r="L19" s="62"/>
      <c r="N19" s="141"/>
    </row>
    <row r="20" spans="3:14" ht="12.75" customHeight="1">
      <c r="C20" s="61" t="s">
        <v>82</v>
      </c>
      <c r="D20" s="248">
        <f>+D18+D14+D11+D10</f>
        <v>18499</v>
      </c>
      <c r="E20" s="61"/>
      <c r="F20" s="248">
        <f>+F18+F14+F11+F10</f>
        <v>17641</v>
      </c>
      <c r="H20" s="248">
        <f>+H18+H14+H11+H10</f>
        <v>17910</v>
      </c>
      <c r="I20" s="61"/>
      <c r="J20" s="248">
        <f>+J18+J14+J11+J10</f>
        <v>16725</v>
      </c>
      <c r="K20" s="61"/>
      <c r="L20" s="248">
        <v>14232</v>
      </c>
      <c r="N20" s="248"/>
    </row>
    <row r="21" spans="3:14" ht="11.25">
      <c r="C21" s="61" t="s">
        <v>261</v>
      </c>
      <c r="D21" s="248">
        <f>'Consol Bal Sheet'!E46-'Consol Bal Sheet'!E22</f>
        <v>13304</v>
      </c>
      <c r="E21" s="61"/>
      <c r="F21" s="248">
        <f>'Consol Bal Sheet'!G46-'Consol Bal Sheet'!G22</f>
        <v>12453</v>
      </c>
      <c r="H21" s="248">
        <f>'Consol Bal Sheet'!I46-'Consol Bal Sheet'!I22</f>
        <v>12228</v>
      </c>
      <c r="I21" s="61"/>
      <c r="J21" s="248">
        <f>'Consol Bal Sheet'!K46-'Consol Bal Sheet'!K22</f>
        <v>11547</v>
      </c>
      <c r="K21" s="61"/>
      <c r="L21" s="248">
        <v>9109</v>
      </c>
      <c r="N21" s="248"/>
    </row>
    <row r="22" spans="3:14" ht="9.75" customHeight="1">
      <c r="C22" s="23"/>
      <c r="D22" s="62"/>
      <c r="E22" s="23"/>
      <c r="F22" s="62"/>
      <c r="H22" s="62"/>
      <c r="I22" s="23"/>
      <c r="J22" s="62"/>
      <c r="K22" s="23"/>
      <c r="L22" s="62"/>
      <c r="M22" s="62"/>
      <c r="N22" s="141"/>
    </row>
    <row r="23" spans="3:14" ht="11.25">
      <c r="C23" s="192" t="s">
        <v>47</v>
      </c>
      <c r="D23" s="141"/>
      <c r="E23" s="192"/>
      <c r="F23" s="141"/>
      <c r="H23" s="141"/>
      <c r="I23" s="192"/>
      <c r="J23" s="141"/>
      <c r="K23" s="192"/>
      <c r="L23" s="141"/>
      <c r="M23" s="141"/>
      <c r="N23" s="141"/>
    </row>
    <row r="24" spans="3:14" ht="11.25">
      <c r="C24" s="61" t="s">
        <v>197</v>
      </c>
      <c r="D24" s="56">
        <f>+D12/D20</f>
        <v>0.11649278339369695</v>
      </c>
      <c r="E24" s="61"/>
      <c r="F24" s="56">
        <f>+F12/F20</f>
        <v>0.1217618048863443</v>
      </c>
      <c r="H24" s="56">
        <f>+H12/H20</f>
        <v>0.14751535455053044</v>
      </c>
      <c r="I24" s="61"/>
      <c r="J24" s="56">
        <f>+J12/J20</f>
        <v>0.12783258594917787</v>
      </c>
      <c r="K24" s="61"/>
      <c r="L24" s="56">
        <f>+L12/L20</f>
        <v>0.14832771219786398</v>
      </c>
      <c r="M24" s="56"/>
      <c r="N24" s="56"/>
    </row>
    <row r="25" spans="3:14" ht="11.25" customHeight="1">
      <c r="C25" s="61" t="s">
        <v>391</v>
      </c>
      <c r="D25" s="56">
        <f>(D12+D14)/D20</f>
        <v>0.1331963889939997</v>
      </c>
      <c r="E25" s="61"/>
      <c r="F25" s="56">
        <f>(F12+F14)/F20</f>
        <v>0.13927781871775977</v>
      </c>
      <c r="H25" s="56">
        <f>(H12+H14)/H20</f>
        <v>0.1647682858738135</v>
      </c>
      <c r="I25" s="61"/>
      <c r="J25" s="56">
        <f>(J12+J14)/J20</f>
        <v>0.14630792227204784</v>
      </c>
      <c r="K25" s="61"/>
      <c r="L25" s="56">
        <f>(L12+L14)/L20</f>
        <v>0.17003934794828554</v>
      </c>
      <c r="M25" s="56"/>
      <c r="N25" s="56"/>
    </row>
    <row r="26" spans="3:14" ht="11.25">
      <c r="C26" s="61" t="s">
        <v>196</v>
      </c>
      <c r="D26" s="56">
        <f>+D12/D21</f>
        <v>0.1619813589897775</v>
      </c>
      <c r="E26" s="61"/>
      <c r="F26" s="56">
        <f>+F12/F21</f>
        <v>0.17248855697422308</v>
      </c>
      <c r="H26" s="56">
        <f>+H12/H21</f>
        <v>0.2160614982008505</v>
      </c>
      <c r="I26" s="61"/>
      <c r="J26" s="56">
        <f>+J12/J21</f>
        <v>0.1851563176582662</v>
      </c>
      <c r="K26" s="61"/>
      <c r="L26" s="56">
        <f>+L12/L21</f>
        <v>0.23174881984850149</v>
      </c>
      <c r="M26" s="56"/>
      <c r="N26" s="56"/>
    </row>
    <row r="27" spans="3:14" ht="22.5">
      <c r="C27" s="101" t="s">
        <v>390</v>
      </c>
      <c r="D27" s="56">
        <f>(+D12+D14)/(D21)</f>
        <v>0.185207456404089</v>
      </c>
      <c r="E27" s="101"/>
      <c r="F27" s="56">
        <f>(+F12+F14)/(F21)</f>
        <v>0.1973018549747049</v>
      </c>
      <c r="H27" s="56">
        <f>(+H12+H14)/(H21)</f>
        <v>0.24133137062479554</v>
      </c>
      <c r="I27" s="101"/>
      <c r="J27" s="56">
        <f>(+J12+J14)/(J21)</f>
        <v>0.21191651511215034</v>
      </c>
      <c r="K27" s="101"/>
      <c r="L27" s="56">
        <f>(+L12+L14)/(L21)</f>
        <v>0.2656713140849709</v>
      </c>
      <c r="M27" s="56"/>
      <c r="N27" s="56"/>
    </row>
    <row r="28" spans="3:14" ht="11.25">
      <c r="C28" s="61" t="s">
        <v>38</v>
      </c>
      <c r="D28" s="56">
        <f>(+D12+D14+D16)/D20</f>
        <v>0.16330612465538677</v>
      </c>
      <c r="E28" s="61"/>
      <c r="F28" s="56">
        <f>(+F12+F14+F16)/F20</f>
        <v>0.170851992517431</v>
      </c>
      <c r="H28" s="56">
        <f>(+H12+H14+H16)/H20</f>
        <v>0.19586823003908432</v>
      </c>
      <c r="I28" s="61"/>
      <c r="J28" s="56">
        <f>(+J12+J14+J16)/J20</f>
        <v>0.17961136023916294</v>
      </c>
      <c r="K28" s="61"/>
      <c r="L28" s="56">
        <f>(+L12+L14+L16)/L20</f>
        <v>0.20917650365373805</v>
      </c>
      <c r="M28" s="56"/>
      <c r="N28" s="56"/>
    </row>
    <row r="29" spans="3:12" ht="6.75" customHeight="1">
      <c r="C29" s="61"/>
      <c r="D29" s="61"/>
      <c r="E29" s="61"/>
      <c r="F29" s="61"/>
      <c r="G29" s="61"/>
      <c r="H29" s="61"/>
      <c r="I29" s="61"/>
      <c r="J29" s="56"/>
      <c r="K29" s="61"/>
      <c r="L29" s="61"/>
    </row>
    <row r="30" spans="3:12" ht="9" customHeight="1">
      <c r="C30" s="23"/>
      <c r="D30" s="23"/>
      <c r="E30" s="23"/>
      <c r="F30" s="23"/>
      <c r="G30" s="23"/>
      <c r="H30" s="23"/>
      <c r="I30" s="23"/>
      <c r="J30" s="23"/>
      <c r="K30" s="23"/>
      <c r="L30" s="61"/>
    </row>
    <row r="31" spans="3:12" s="99" customFormat="1" ht="9">
      <c r="C31" s="259" t="s">
        <v>262</v>
      </c>
      <c r="L31" s="490"/>
    </row>
    <row r="32" ht="11.25">
      <c r="L32" s="7"/>
    </row>
    <row r="33" ht="11.25">
      <c r="L33" s="7"/>
    </row>
    <row r="34" ht="11.25">
      <c r="L34" s="7"/>
    </row>
  </sheetData>
  <mergeCells count="4">
    <mergeCell ref="A1:L1"/>
    <mergeCell ref="A2:L2"/>
    <mergeCell ref="A3:L3"/>
    <mergeCell ref="A4:L4"/>
  </mergeCells>
  <printOptions/>
  <pageMargins left="0.5" right="0.5" top="0.5" bottom="0.55" header="0.75" footer="0.3"/>
  <pageSetup horizontalDpi="600" verticalDpi="600" orientation="landscape" r:id="rId2"/>
  <headerFooter alignWithMargins="0">
    <oddFooter>&amp;L&amp;A&amp;R&amp;"Arial,Regular"&amp;8Page 19</oddFooter>
  </headerFooter>
  <drawing r:id="rId1"/>
</worksheet>
</file>

<file path=xl/worksheets/sheet22.xml><?xml version="1.0" encoding="utf-8"?>
<worksheet xmlns="http://schemas.openxmlformats.org/spreadsheetml/2006/main" xmlns:r="http://schemas.openxmlformats.org/officeDocument/2006/relationships">
  <sheetPr codeName="Sheet8">
    <pageSetUpPr fitToPage="1"/>
  </sheetPr>
  <dimension ref="A1:Q43"/>
  <sheetViews>
    <sheetView workbookViewId="0" topLeftCell="A1">
      <selection activeCell="A1" sqref="A1:J1"/>
    </sheetView>
  </sheetViews>
  <sheetFormatPr defaultColWidth="9.33203125" defaultRowHeight="12.75"/>
  <cols>
    <col min="1" max="1" width="2.83203125" style="108" customWidth="1"/>
    <col min="2" max="2" width="3.33203125" style="108" customWidth="1"/>
    <col min="3" max="3" width="66.5" style="108" customWidth="1"/>
    <col min="4" max="4" width="13.83203125" style="108" customWidth="1"/>
    <col min="5" max="5" width="2.83203125" style="108" customWidth="1"/>
    <col min="6" max="6" width="13.83203125" style="108" customWidth="1"/>
    <col min="7" max="7" width="2.83203125" style="108" customWidth="1"/>
    <col min="8" max="8" width="13.83203125" style="108" customWidth="1"/>
    <col min="9" max="9" width="2.83203125" style="108" customWidth="1"/>
    <col min="10" max="10" width="13.83203125" style="108" customWidth="1"/>
    <col min="11" max="11" width="13.66015625" style="108" customWidth="1"/>
    <col min="12" max="16384" width="10.66015625" style="108" customWidth="1"/>
  </cols>
  <sheetData>
    <row r="1" spans="1:12" ht="12.75">
      <c r="A1" s="655" t="s">
        <v>89</v>
      </c>
      <c r="B1" s="655"/>
      <c r="C1" s="655"/>
      <c r="D1" s="655"/>
      <c r="E1" s="655"/>
      <c r="F1" s="655"/>
      <c r="G1" s="655"/>
      <c r="H1" s="655"/>
      <c r="I1" s="655"/>
      <c r="J1" s="655"/>
      <c r="K1" s="522"/>
      <c r="L1" s="522"/>
    </row>
    <row r="2" spans="1:12" ht="12.75" customHeight="1">
      <c r="A2" s="656" t="s">
        <v>162</v>
      </c>
      <c r="B2" s="656"/>
      <c r="C2" s="656"/>
      <c r="D2" s="656"/>
      <c r="E2" s="656"/>
      <c r="F2" s="656"/>
      <c r="G2" s="656"/>
      <c r="H2" s="656"/>
      <c r="I2" s="656"/>
      <c r="J2" s="656"/>
      <c r="K2" s="109"/>
      <c r="L2" s="109"/>
    </row>
    <row r="3" spans="1:12" ht="12.75" customHeight="1">
      <c r="A3" s="654" t="s">
        <v>205</v>
      </c>
      <c r="B3" s="654"/>
      <c r="C3" s="654"/>
      <c r="D3" s="654"/>
      <c r="E3" s="654"/>
      <c r="F3" s="654"/>
      <c r="G3" s="654"/>
      <c r="H3" s="654"/>
      <c r="I3" s="654"/>
      <c r="J3" s="654"/>
      <c r="K3" s="519"/>
      <c r="L3" s="519"/>
    </row>
    <row r="4" spans="1:12" ht="12.75" customHeight="1">
      <c r="A4" s="654" t="s">
        <v>163</v>
      </c>
      <c r="B4" s="654"/>
      <c r="C4" s="654"/>
      <c r="D4" s="654"/>
      <c r="E4" s="654"/>
      <c r="F4" s="654"/>
      <c r="G4" s="654"/>
      <c r="H4" s="654"/>
      <c r="I4" s="654"/>
      <c r="J4" s="654"/>
      <c r="K4" s="519"/>
      <c r="L4" s="519"/>
    </row>
    <row r="5" spans="2:8" ht="12">
      <c r="B5" s="109"/>
      <c r="C5" s="501"/>
      <c r="D5" s="110"/>
      <c r="E5" s="110"/>
      <c r="F5" s="110"/>
      <c r="H5" s="461"/>
    </row>
    <row r="6" spans="3:10" ht="11.25">
      <c r="C6" s="500"/>
      <c r="D6" s="156" t="s">
        <v>439</v>
      </c>
      <c r="E6" s="156"/>
      <c r="F6" s="156"/>
      <c r="H6" s="156" t="s">
        <v>452</v>
      </c>
      <c r="I6" s="156"/>
      <c r="J6" s="156"/>
    </row>
    <row r="7" spans="3:11" ht="11.25">
      <c r="C7" s="111"/>
      <c r="D7" s="112">
        <v>2007</v>
      </c>
      <c r="E7" s="112"/>
      <c r="F7" s="112">
        <v>2006</v>
      </c>
      <c r="H7" s="112">
        <v>2007</v>
      </c>
      <c r="I7" s="112"/>
      <c r="J7" s="112">
        <v>2006</v>
      </c>
      <c r="K7" s="461"/>
    </row>
    <row r="8" spans="3:11" ht="15.75" customHeight="1">
      <c r="C8" s="204" t="s">
        <v>209</v>
      </c>
      <c r="D8" s="113"/>
      <c r="E8"/>
      <c r="F8" s="166"/>
      <c r="H8" s="113"/>
      <c r="I8"/>
      <c r="J8" s="166"/>
      <c r="K8" s="461"/>
    </row>
    <row r="9" spans="3:17" ht="12.75">
      <c r="C9" s="1" t="s">
        <v>337</v>
      </c>
      <c r="D9" s="248">
        <f>+'Financial Highlights'!E102</f>
        <v>692</v>
      </c>
      <c r="E9" s="380"/>
      <c r="F9" s="248">
        <f>+'Financial Highlights'!G20</f>
        <v>652</v>
      </c>
      <c r="G9" s="384"/>
      <c r="H9" s="248">
        <f>'Financial Highlights'!L20</f>
        <v>2019</v>
      </c>
      <c r="I9" s="380"/>
      <c r="J9" s="248">
        <f>+'Financial Highlights'!N20</f>
        <v>1708</v>
      </c>
      <c r="K9" s="115"/>
      <c r="M9" s="114"/>
      <c r="N9" s="114"/>
      <c r="O9" s="114"/>
      <c r="P9" s="114"/>
      <c r="Q9" s="114"/>
    </row>
    <row r="10" spans="3:17" ht="12.75">
      <c r="C10" s="115" t="s">
        <v>178</v>
      </c>
      <c r="D10" s="254">
        <v>-11</v>
      </c>
      <c r="E10" s="380"/>
      <c r="F10" s="385">
        <v>-11</v>
      </c>
      <c r="G10" s="384"/>
      <c r="H10" s="254">
        <f>-22+D10</f>
        <v>-33</v>
      </c>
      <c r="I10" s="380"/>
      <c r="J10" s="385">
        <v>-33</v>
      </c>
      <c r="K10" s="115"/>
      <c r="M10" s="114"/>
      <c r="N10" s="114"/>
      <c r="O10" s="114"/>
      <c r="P10" s="114"/>
      <c r="Q10" s="114"/>
    </row>
    <row r="11" spans="3:14" ht="11.25" customHeight="1">
      <c r="C11" s="498" t="s">
        <v>339</v>
      </c>
      <c r="D11" s="46">
        <f>SUM(D9:D10)</f>
        <v>681</v>
      </c>
      <c r="E11" s="380"/>
      <c r="F11" s="46">
        <f>SUM(F9:F10)</f>
        <v>641</v>
      </c>
      <c r="G11" s="117"/>
      <c r="H11" s="46">
        <f>SUM(H9:H10)</f>
        <v>1986</v>
      </c>
      <c r="I11" s="380"/>
      <c r="J11" s="46">
        <f>SUM(J9:J10)</f>
        <v>1675</v>
      </c>
      <c r="K11" s="115"/>
      <c r="M11" s="114"/>
      <c r="N11" s="114"/>
    </row>
    <row r="12" spans="3:14" ht="12.75">
      <c r="C12" s="115" t="s">
        <v>179</v>
      </c>
      <c r="D12" s="254">
        <f>+'Consolidated Results'!D25+'Consolidated Results'!D26-'Consolidated Results'!D27</f>
        <v>-36</v>
      </c>
      <c r="E12" s="380"/>
      <c r="F12" s="254">
        <f>+'Consolidated Results'!L25-'Consolidated Results'!L27</f>
        <v>-74</v>
      </c>
      <c r="G12" s="117"/>
      <c r="H12" s="254">
        <f>+'Consolidated Results'!N25+'Consolidated Results'!N26-'Consolidated Results'!N27</f>
        <v>-13</v>
      </c>
      <c r="I12" s="380"/>
      <c r="J12" s="254">
        <f>+'Consolidated Results'!P25-'Consolidated Results'!P27</f>
        <v>-72</v>
      </c>
      <c r="K12" s="115"/>
      <c r="M12" s="114"/>
      <c r="N12" s="114"/>
    </row>
    <row r="13" spans="3:14" ht="13.5" customHeight="1">
      <c r="C13" s="116" t="s">
        <v>335</v>
      </c>
      <c r="D13" s="46">
        <f>+D12+D11</f>
        <v>645</v>
      </c>
      <c r="E13" s="380"/>
      <c r="F13" s="46">
        <f>+F12+F11</f>
        <v>567</v>
      </c>
      <c r="G13" s="117"/>
      <c r="H13" s="46">
        <f>+H12+H11</f>
        <v>1973</v>
      </c>
      <c r="I13" s="380"/>
      <c r="J13" s="46">
        <f>+J12+J11</f>
        <v>1603</v>
      </c>
      <c r="K13" s="115"/>
      <c r="M13" s="114"/>
      <c r="N13" s="114"/>
    </row>
    <row r="14" spans="3:14" ht="12.75">
      <c r="C14" s="200" t="s">
        <v>336</v>
      </c>
      <c r="D14" s="46">
        <f>+'Consolidated Results'!D22</f>
        <v>0</v>
      </c>
      <c r="E14" s="380"/>
      <c r="F14" s="46">
        <f>+'Consolidated Results'!L22</f>
        <v>0</v>
      </c>
      <c r="G14" s="117"/>
      <c r="H14" s="46">
        <f>+'Consolidated Results'!N28</f>
        <v>0</v>
      </c>
      <c r="I14" s="380"/>
      <c r="J14" s="46">
        <f>+'Consolidated Results'!P28</f>
        <v>4</v>
      </c>
      <c r="K14" s="115"/>
      <c r="M14" s="114"/>
      <c r="N14" s="114"/>
    </row>
    <row r="15" spans="3:14" ht="12" customHeight="1" thickBot="1">
      <c r="C15" s="115" t="s">
        <v>328</v>
      </c>
      <c r="D15" s="434">
        <f>+D13+D14</f>
        <v>645</v>
      </c>
      <c r="E15" s="435"/>
      <c r="F15" s="434">
        <f>+F13+F14</f>
        <v>567</v>
      </c>
      <c r="G15" s="436"/>
      <c r="H15" s="434">
        <f>+H13+H14</f>
        <v>1973</v>
      </c>
      <c r="I15" s="435"/>
      <c r="J15" s="434">
        <f>+J13+J14</f>
        <v>1607</v>
      </c>
      <c r="K15" s="115"/>
      <c r="M15" s="114"/>
      <c r="N15" s="114"/>
    </row>
    <row r="16" spans="3:14" ht="15.75" customHeight="1" thickTop="1">
      <c r="C16" s="205"/>
      <c r="D16" s="46"/>
      <c r="E16" s="380"/>
      <c r="F16" s="46"/>
      <c r="G16" s="145"/>
      <c r="H16" s="46"/>
      <c r="I16" s="380"/>
      <c r="J16" s="46"/>
      <c r="K16" s="115"/>
      <c r="M16" s="114"/>
      <c r="N16" s="114"/>
    </row>
    <row r="17" spans="3:14" ht="12.75">
      <c r="C17" s="204" t="s">
        <v>394</v>
      </c>
      <c r="D17" s="46"/>
      <c r="E17" s="380"/>
      <c r="F17" s="46"/>
      <c r="G17" s="145"/>
      <c r="H17" s="46"/>
      <c r="I17" s="380"/>
      <c r="J17" s="46"/>
      <c r="K17" s="115"/>
      <c r="M17" s="114"/>
      <c r="N17" s="114"/>
    </row>
    <row r="18" spans="3:14" ht="12.75">
      <c r="C18" s="115" t="s">
        <v>395</v>
      </c>
      <c r="D18" s="46">
        <v>329009343</v>
      </c>
      <c r="E18" s="380"/>
      <c r="F18" s="46">
        <v>325371481</v>
      </c>
      <c r="G18" s="117"/>
      <c r="H18" s="46">
        <v>326455468</v>
      </c>
      <c r="I18" s="380"/>
      <c r="J18" s="46">
        <v>323322586</v>
      </c>
      <c r="K18" s="115"/>
      <c r="M18" s="114"/>
      <c r="N18" s="114"/>
    </row>
    <row r="19" spans="3:14" ht="12.75">
      <c r="C19" s="115" t="s">
        <v>180</v>
      </c>
      <c r="D19" s="46">
        <v>101234</v>
      </c>
      <c r="E19" s="380"/>
      <c r="F19" s="46">
        <v>101359</v>
      </c>
      <c r="G19" s="117"/>
      <c r="H19" s="46">
        <v>205396</v>
      </c>
      <c r="I19" s="380"/>
      <c r="J19" s="46">
        <v>202891</v>
      </c>
      <c r="K19" s="115"/>
      <c r="M19" s="114"/>
      <c r="N19" s="114"/>
    </row>
    <row r="20" spans="3:14" ht="12.75">
      <c r="C20" s="115" t="s">
        <v>392</v>
      </c>
      <c r="D20" s="46">
        <v>11614</v>
      </c>
      <c r="E20" s="380"/>
      <c r="F20" s="46">
        <v>-19016</v>
      </c>
      <c r="G20" s="117"/>
      <c r="H20" s="46">
        <v>1259080</v>
      </c>
      <c r="I20" s="380"/>
      <c r="J20" s="46">
        <v>989164</v>
      </c>
      <c r="K20" s="115"/>
      <c r="M20" s="114"/>
      <c r="N20" s="114"/>
    </row>
    <row r="21" spans="3:14" ht="12.75">
      <c r="C21" s="115" t="s">
        <v>185</v>
      </c>
      <c r="D21" s="46">
        <v>338176</v>
      </c>
      <c r="E21" s="380"/>
      <c r="F21" s="46">
        <v>502718</v>
      </c>
      <c r="G21" s="117"/>
      <c r="H21" s="46">
        <v>1540423</v>
      </c>
      <c r="I21" s="380"/>
      <c r="J21" s="46">
        <v>1441901</v>
      </c>
      <c r="K21" s="115"/>
      <c r="M21" s="114"/>
      <c r="N21" s="114"/>
    </row>
    <row r="22" spans="3:14" ht="12" customHeight="1" thickBot="1">
      <c r="C22" s="115" t="s">
        <v>393</v>
      </c>
      <c r="D22" s="386">
        <f>SUM(D18:D21)</f>
        <v>329460367</v>
      </c>
      <c r="E22" s="380"/>
      <c r="F22" s="386">
        <f>SUM(F18:F21)</f>
        <v>325956542</v>
      </c>
      <c r="G22" s="117"/>
      <c r="H22" s="386">
        <f>SUM(H18:H21)</f>
        <v>329460367</v>
      </c>
      <c r="I22" s="380"/>
      <c r="J22" s="386">
        <f>SUM(J18:J21)</f>
        <v>325956542</v>
      </c>
      <c r="K22" s="115"/>
      <c r="M22" s="114"/>
      <c r="N22" s="114"/>
    </row>
    <row r="23" spans="3:14" ht="15.75" customHeight="1" thickTop="1">
      <c r="C23" s="115"/>
      <c r="D23" s="46"/>
      <c r="E23" s="380"/>
      <c r="F23" s="46"/>
      <c r="G23" s="145"/>
      <c r="H23" s="46"/>
      <c r="I23" s="380"/>
      <c r="J23" s="46"/>
      <c r="K23" s="115"/>
      <c r="L23" s="114"/>
      <c r="M23" s="114"/>
      <c r="N23" s="114"/>
    </row>
    <row r="24" spans="3:14" ht="12.75">
      <c r="C24" s="204" t="s">
        <v>210</v>
      </c>
      <c r="D24" s="352"/>
      <c r="E24" s="380"/>
      <c r="F24" s="46"/>
      <c r="G24" s="145"/>
      <c r="H24" s="352"/>
      <c r="I24" s="380"/>
      <c r="J24" s="352"/>
      <c r="K24" s="114"/>
      <c r="L24" s="114"/>
      <c r="M24" s="114"/>
      <c r="N24" s="114"/>
    </row>
    <row r="25" spans="3:14" ht="11.25" customHeight="1">
      <c r="C25" s="115" t="s">
        <v>186</v>
      </c>
      <c r="D25" s="46">
        <v>325201688</v>
      </c>
      <c r="E25" s="380"/>
      <c r="F25" s="46">
        <v>321857427</v>
      </c>
      <c r="G25" s="145"/>
      <c r="H25" s="46">
        <v>324670960</v>
      </c>
      <c r="I25" s="380"/>
      <c r="J25" s="46">
        <v>321502413</v>
      </c>
      <c r="K25" s="114"/>
      <c r="L25" s="114"/>
      <c r="M25" s="114"/>
      <c r="N25" s="114"/>
    </row>
    <row r="26" spans="3:14" ht="11.25" customHeight="1">
      <c r="C26" s="115" t="s">
        <v>187</v>
      </c>
      <c r="D26" s="385">
        <v>5419353</v>
      </c>
      <c r="E26" s="380"/>
      <c r="F26" s="385">
        <v>4848763</v>
      </c>
      <c r="G26" s="117"/>
      <c r="H26" s="385">
        <v>5413751</v>
      </c>
      <c r="I26" s="380"/>
      <c r="J26" s="385">
        <v>5005317</v>
      </c>
      <c r="K26" s="114"/>
      <c r="L26" s="114"/>
      <c r="M26" s="114"/>
      <c r="N26" s="114"/>
    </row>
    <row r="27" spans="3:14" ht="12.75" customHeight="1" thickBot="1">
      <c r="C27" s="115" t="s">
        <v>56</v>
      </c>
      <c r="D27" s="466">
        <f>SUM(D25:D26)</f>
        <v>330621041</v>
      </c>
      <c r="E27" s="380"/>
      <c r="F27" s="466">
        <f>SUM(F25:F26)</f>
        <v>326706190</v>
      </c>
      <c r="G27" s="117"/>
      <c r="H27" s="466">
        <f>SUM(H25:H26)</f>
        <v>330084711</v>
      </c>
      <c r="I27" s="380"/>
      <c r="J27" s="466">
        <f>SUM(J25:J26)</f>
        <v>326507730</v>
      </c>
      <c r="K27" s="114"/>
      <c r="L27" s="114"/>
      <c r="M27" s="114"/>
      <c r="N27" s="114"/>
    </row>
    <row r="28" spans="3:14" ht="12.75" customHeight="1" thickTop="1">
      <c r="C28" s="115"/>
      <c r="D28" s="117"/>
      <c r="E28" s="380"/>
      <c r="F28" s="117"/>
      <c r="G28" s="117"/>
      <c r="H28" s="117"/>
      <c r="I28" s="380"/>
      <c r="J28" s="117"/>
      <c r="K28" s="114"/>
      <c r="L28" s="114"/>
      <c r="M28" s="114"/>
      <c r="N28" s="114"/>
    </row>
    <row r="29" spans="3:14" ht="12.75" customHeight="1">
      <c r="C29" s="204" t="s">
        <v>4</v>
      </c>
      <c r="D29" s="117"/>
      <c r="E29" s="380"/>
      <c r="F29" s="117"/>
      <c r="G29" s="117"/>
      <c r="H29" s="117"/>
      <c r="I29" s="380"/>
      <c r="J29" s="117"/>
      <c r="K29" s="114"/>
      <c r="L29" s="114"/>
      <c r="M29" s="114"/>
      <c r="N29" s="114"/>
    </row>
    <row r="30" spans="3:14" ht="12.75" customHeight="1">
      <c r="C30" s="1" t="s">
        <v>337</v>
      </c>
      <c r="D30" s="119">
        <v>2.09</v>
      </c>
      <c r="E30" s="380"/>
      <c r="F30" s="119">
        <v>1.99</v>
      </c>
      <c r="G30" s="117"/>
      <c r="H30" s="119">
        <v>6.12</v>
      </c>
      <c r="I30" s="380"/>
      <c r="J30" s="119">
        <v>5.21</v>
      </c>
      <c r="K30" s="114"/>
      <c r="L30" s="114"/>
      <c r="M30" s="114"/>
      <c r="N30" s="114"/>
    </row>
    <row r="31" spans="3:14" ht="12.75" customHeight="1">
      <c r="C31" s="115" t="s">
        <v>179</v>
      </c>
      <c r="D31" s="120">
        <v>-0.11</v>
      </c>
      <c r="E31" s="380"/>
      <c r="F31" s="120">
        <v>-0.23</v>
      </c>
      <c r="G31" s="117"/>
      <c r="H31" s="120">
        <v>-0.04</v>
      </c>
      <c r="I31" s="380"/>
      <c r="J31" s="120">
        <v>-0.23</v>
      </c>
      <c r="K31" s="114"/>
      <c r="L31" s="114"/>
      <c r="M31" s="114"/>
      <c r="N31" s="114"/>
    </row>
    <row r="32" spans="3:14" ht="12.75" customHeight="1">
      <c r="C32" s="200" t="s">
        <v>336</v>
      </c>
      <c r="D32" s="580">
        <v>0</v>
      </c>
      <c r="E32" s="380"/>
      <c r="F32" s="580">
        <v>0</v>
      </c>
      <c r="G32" s="117"/>
      <c r="H32" s="580">
        <v>0</v>
      </c>
      <c r="I32" s="380"/>
      <c r="J32" s="467">
        <v>0.01</v>
      </c>
      <c r="K32" s="114"/>
      <c r="L32" s="114"/>
      <c r="M32" s="114"/>
      <c r="N32" s="114"/>
    </row>
    <row r="33" spans="3:14" ht="12.75" customHeight="1" thickBot="1">
      <c r="C33" s="115" t="s">
        <v>206</v>
      </c>
      <c r="D33" s="497">
        <f>SUM(D30:D32)</f>
        <v>1.9799999999999998</v>
      </c>
      <c r="E33" s="380"/>
      <c r="F33" s="497">
        <f>SUM(F30:F32)</f>
        <v>1.76</v>
      </c>
      <c r="G33" s="117"/>
      <c r="H33" s="497">
        <f>SUM(H30:H32)</f>
        <v>6.08</v>
      </c>
      <c r="I33" s="380"/>
      <c r="J33" s="497">
        <f>SUM(J30:J32)</f>
        <v>4.989999999999999</v>
      </c>
      <c r="K33" s="114"/>
      <c r="L33" s="114"/>
      <c r="M33" s="114"/>
      <c r="N33" s="114"/>
    </row>
    <row r="34" spans="3:14" ht="12.75" customHeight="1" thickTop="1">
      <c r="C34" s="206"/>
      <c r="D34" s="187"/>
      <c r="E34" s="256"/>
      <c r="F34" s="360"/>
      <c r="G34" s="117"/>
      <c r="H34" s="187"/>
      <c r="I34" s="256"/>
      <c r="J34" s="360"/>
      <c r="K34" s="114"/>
      <c r="L34" s="114"/>
      <c r="M34" s="114"/>
      <c r="N34" s="114"/>
    </row>
    <row r="35" spans="3:17" ht="12.75" customHeight="1">
      <c r="C35" s="204" t="s">
        <v>299</v>
      </c>
      <c r="D35" s="118"/>
      <c r="E35" s="256"/>
      <c r="F35" s="117"/>
      <c r="G35" s="119"/>
      <c r="H35" s="118"/>
      <c r="I35" s="256"/>
      <c r="J35" s="117"/>
      <c r="K35" s="114"/>
      <c r="L35" s="114"/>
      <c r="M35" s="114"/>
      <c r="N35" s="114"/>
      <c r="O35" s="114"/>
      <c r="P35" s="114"/>
      <c r="Q35" s="114"/>
    </row>
    <row r="36" spans="3:17" ht="12.75" customHeight="1">
      <c r="C36" s="1" t="s">
        <v>337</v>
      </c>
      <c r="D36" s="119">
        <v>2.06</v>
      </c>
      <c r="E36" s="256"/>
      <c r="F36" s="119">
        <v>1.96</v>
      </c>
      <c r="G36" s="119"/>
      <c r="H36" s="119">
        <v>6.02</v>
      </c>
      <c r="I36" s="256"/>
      <c r="J36" s="119">
        <v>5.13</v>
      </c>
      <c r="K36" s="114"/>
      <c r="L36" s="114"/>
      <c r="M36" s="114"/>
      <c r="N36" s="114"/>
      <c r="O36" s="114"/>
      <c r="P36" s="114"/>
      <c r="Q36" s="114"/>
    </row>
    <row r="37" spans="3:10" ht="12.75" customHeight="1">
      <c r="C37" s="115" t="s">
        <v>179</v>
      </c>
      <c r="D37" s="120">
        <v>-0.11</v>
      </c>
      <c r="E37" s="256"/>
      <c r="F37" s="120">
        <v>-0.23</v>
      </c>
      <c r="G37" s="120"/>
      <c r="H37" s="120">
        <v>-0.04</v>
      </c>
      <c r="I37" s="256"/>
      <c r="J37" s="120">
        <v>-0.22</v>
      </c>
    </row>
    <row r="38" spans="3:10" ht="12.75" customHeight="1">
      <c r="C38" s="200" t="s">
        <v>336</v>
      </c>
      <c r="D38" s="580">
        <v>0</v>
      </c>
      <c r="E38" s="380"/>
      <c r="F38" s="580">
        <v>0</v>
      </c>
      <c r="G38" s="117"/>
      <c r="H38" s="580">
        <v>0</v>
      </c>
      <c r="I38" s="256"/>
      <c r="J38" s="467">
        <v>0.01</v>
      </c>
    </row>
    <row r="39" spans="3:17" ht="12.75" customHeight="1" thickBot="1">
      <c r="C39" s="115" t="s">
        <v>5</v>
      </c>
      <c r="D39" s="468">
        <f>SUM(D36:D38)</f>
        <v>1.95</v>
      </c>
      <c r="E39" s="256"/>
      <c r="F39" s="468">
        <f>SUM(F36:F38)</f>
        <v>1.73</v>
      </c>
      <c r="G39" s="119"/>
      <c r="H39" s="468">
        <f>SUM(H36:H38)</f>
        <v>5.9799999999999995</v>
      </c>
      <c r="I39" s="256"/>
      <c r="J39" s="468">
        <f>SUM(J36:J38)</f>
        <v>4.92</v>
      </c>
      <c r="K39" s="114"/>
      <c r="L39" s="114"/>
      <c r="M39" s="114"/>
      <c r="N39" s="114"/>
      <c r="O39" s="114"/>
      <c r="P39" s="114"/>
      <c r="Q39" s="114"/>
    </row>
    <row r="40" spans="3:17" ht="12.75" customHeight="1" thickTop="1">
      <c r="C40" s="185"/>
      <c r="D40" s="187"/>
      <c r="E40"/>
      <c r="F40" s="186"/>
      <c r="G40" s="117"/>
      <c r="H40" s="115"/>
      <c r="I40" s="114"/>
      <c r="J40" s="114"/>
      <c r="K40" s="114"/>
      <c r="L40" s="114"/>
      <c r="M40" s="114"/>
      <c r="N40" s="114"/>
      <c r="O40" s="114"/>
      <c r="P40" s="114"/>
      <c r="Q40" s="114"/>
    </row>
    <row r="41" spans="3:5" ht="12.75" customHeight="1">
      <c r="C41" s="526" t="str">
        <f>+'Financial Highlights'!C49</f>
        <v>(1) See page 21 Non-GAAP Financial Measures.</v>
      </c>
      <c r="D41" s="352"/>
      <c r="E41"/>
    </row>
    <row r="42" spans="3:10" ht="11.25">
      <c r="C42" s="653"/>
      <c r="D42" s="653"/>
      <c r="E42" s="653"/>
      <c r="F42" s="653"/>
      <c r="G42" s="653"/>
      <c r="H42" s="653"/>
      <c r="I42" s="653"/>
      <c r="J42" s="653"/>
    </row>
    <row r="43" spans="5:6" ht="12.75">
      <c r="E43"/>
      <c r="F43" s="431"/>
    </row>
  </sheetData>
  <mergeCells count="5">
    <mergeCell ref="C42:J42"/>
    <mergeCell ref="A4:J4"/>
    <mergeCell ref="A1:J1"/>
    <mergeCell ref="A2:J2"/>
    <mergeCell ref="A3:J3"/>
  </mergeCells>
  <hyperlinks>
    <hyperlink ref="C41" location="'Reconciliation Non-GAAP'!A1" display="'Reconciliation Non-GAAP'!A1"/>
  </hyperlinks>
  <printOptions/>
  <pageMargins left="0.5" right="0.5" top="0.5" bottom="0.55" header="0.75" footer="0.3"/>
  <pageSetup fitToHeight="1" fitToWidth="1" horizontalDpi="600" verticalDpi="600" orientation="landscape" r:id="rId2"/>
  <headerFooter alignWithMargins="0">
    <oddFooter>&amp;L&amp;A&amp;R&amp;"Arial,Regular"&amp;8Page 20</oddFooter>
  </headerFooter>
  <drawing r:id="rId1"/>
</worksheet>
</file>

<file path=xl/worksheets/sheet23.xml><?xml version="1.0" encoding="utf-8"?>
<worksheet xmlns="http://schemas.openxmlformats.org/spreadsheetml/2006/main" xmlns:r="http://schemas.openxmlformats.org/officeDocument/2006/relationships">
  <sheetPr codeName="Sheet31"/>
  <dimension ref="A1:V33"/>
  <sheetViews>
    <sheetView workbookViewId="0" topLeftCell="A1">
      <selection activeCell="A1" sqref="A1:L1"/>
    </sheetView>
  </sheetViews>
  <sheetFormatPr defaultColWidth="9.33203125" defaultRowHeight="12.75"/>
  <cols>
    <col min="1" max="2" width="2.83203125" style="1" customWidth="1"/>
    <col min="3" max="3" width="52.83203125" style="1" customWidth="1"/>
    <col min="4" max="8" width="8.83203125" style="1" customWidth="1"/>
    <col min="9" max="9" width="2.66015625" style="1" customWidth="1"/>
    <col min="10" max="10" width="9.83203125" style="1" customWidth="1"/>
    <col min="11" max="11" width="2.5" style="1" customWidth="1"/>
    <col min="12" max="12" width="9.83203125" style="1" customWidth="1"/>
    <col min="13" max="13" width="2.66015625" style="1" customWidth="1"/>
    <col min="14" max="14" width="9.83203125" style="1" customWidth="1"/>
    <col min="15" max="16384" width="8.16015625" style="1" customWidth="1"/>
  </cols>
  <sheetData>
    <row r="1" spans="1:16" ht="12.75">
      <c r="A1" s="626" t="s">
        <v>89</v>
      </c>
      <c r="B1" s="626"/>
      <c r="C1" s="626"/>
      <c r="D1" s="626"/>
      <c r="E1" s="626"/>
      <c r="F1" s="626"/>
      <c r="G1" s="626"/>
      <c r="H1" s="626"/>
      <c r="I1" s="626"/>
      <c r="J1" s="626"/>
      <c r="K1" s="626"/>
      <c r="L1" s="626"/>
      <c r="M1" s="341"/>
      <c r="N1" s="341"/>
      <c r="O1" s="23"/>
      <c r="P1" s="23"/>
    </row>
    <row r="2" spans="1:16" ht="12">
      <c r="A2" s="627" t="s">
        <v>20</v>
      </c>
      <c r="B2" s="627"/>
      <c r="C2" s="627"/>
      <c r="D2" s="627"/>
      <c r="E2" s="627"/>
      <c r="F2" s="627"/>
      <c r="G2" s="627"/>
      <c r="H2" s="627"/>
      <c r="I2" s="627"/>
      <c r="J2" s="627"/>
      <c r="K2" s="627"/>
      <c r="L2" s="627"/>
      <c r="M2" s="54"/>
      <c r="N2" s="54"/>
      <c r="O2" s="23"/>
      <c r="P2" s="23"/>
    </row>
    <row r="3" spans="1:16" ht="12.75" customHeight="1">
      <c r="A3" s="602" t="s">
        <v>147</v>
      </c>
      <c r="B3" s="602"/>
      <c r="C3" s="602"/>
      <c r="D3" s="602"/>
      <c r="E3" s="602"/>
      <c r="F3" s="602"/>
      <c r="G3" s="602"/>
      <c r="H3" s="602"/>
      <c r="I3" s="602"/>
      <c r="J3" s="602"/>
      <c r="K3" s="602"/>
      <c r="L3" s="602"/>
      <c r="M3" s="342"/>
      <c r="N3" s="342"/>
      <c r="O3" s="23"/>
      <c r="P3" s="23"/>
    </row>
    <row r="4" spans="1:16" ht="13.5" customHeight="1">
      <c r="A4" s="602" t="s">
        <v>163</v>
      </c>
      <c r="B4" s="602"/>
      <c r="C4" s="602"/>
      <c r="D4" s="602"/>
      <c r="E4" s="602"/>
      <c r="F4" s="602"/>
      <c r="G4" s="602"/>
      <c r="H4" s="602"/>
      <c r="I4" s="602"/>
      <c r="J4" s="602"/>
      <c r="K4" s="602"/>
      <c r="L4" s="602"/>
      <c r="M4" s="342"/>
      <c r="N4" s="342"/>
      <c r="O4" s="23"/>
      <c r="P4" s="23"/>
    </row>
    <row r="5" spans="1:11" ht="11.25" customHeight="1">
      <c r="A5" s="2"/>
      <c r="B5" s="2"/>
      <c r="C5" s="661"/>
      <c r="D5" s="661"/>
      <c r="E5" s="661"/>
      <c r="F5" s="2"/>
      <c r="G5" s="2"/>
      <c r="H5" s="2"/>
      <c r="I5" s="2"/>
      <c r="J5" s="2"/>
      <c r="K5" s="2"/>
    </row>
    <row r="6" spans="1:13" ht="12.75">
      <c r="A6" s="2"/>
      <c r="B6" s="2"/>
      <c r="C6" s="222" t="s">
        <v>45</v>
      </c>
      <c r="D6" s="222"/>
      <c r="E6" s="2"/>
      <c r="F6" s="2"/>
      <c r="G6" s="2"/>
      <c r="H6" s="2"/>
      <c r="L6" s="657"/>
      <c r="M6" s="657"/>
    </row>
    <row r="7" spans="1:14" ht="5.25" customHeight="1">
      <c r="A7" s="2"/>
      <c r="B7" s="2"/>
      <c r="C7" s="2"/>
      <c r="D7" s="2"/>
      <c r="E7" s="2"/>
      <c r="F7" s="2"/>
      <c r="G7" s="2"/>
      <c r="H7" s="2"/>
      <c r="N7" s="7"/>
    </row>
    <row r="8" spans="1:14" ht="39.75" customHeight="1">
      <c r="A8" s="2"/>
      <c r="B8" s="2"/>
      <c r="C8" s="658" t="s">
        <v>510</v>
      </c>
      <c r="D8" s="658"/>
      <c r="E8" s="658"/>
      <c r="F8" s="658"/>
      <c r="G8" s="658"/>
      <c r="H8" s="658"/>
      <c r="I8" s="658"/>
      <c r="J8" s="658"/>
      <c r="K8" s="658"/>
      <c r="L8" s="658"/>
      <c r="M8" s="659"/>
      <c r="N8" s="659"/>
    </row>
    <row r="9" spans="1:14" ht="45" customHeight="1">
      <c r="A9" s="2"/>
      <c r="B9" s="2"/>
      <c r="C9" s="658" t="s">
        <v>379</v>
      </c>
      <c r="D9" s="658"/>
      <c r="E9" s="658"/>
      <c r="F9" s="658"/>
      <c r="G9" s="658"/>
      <c r="H9" s="658"/>
      <c r="I9" s="658"/>
      <c r="J9" s="658"/>
      <c r="K9" s="658"/>
      <c r="L9" s="658"/>
      <c r="M9" s="642"/>
      <c r="N9" s="642"/>
    </row>
    <row r="10" spans="1:14" ht="84.75" customHeight="1">
      <c r="A10" s="2"/>
      <c r="B10" s="2"/>
      <c r="C10" s="660" t="s">
        <v>513</v>
      </c>
      <c r="D10" s="660"/>
      <c r="E10" s="660"/>
      <c r="F10" s="660"/>
      <c r="G10" s="660"/>
      <c r="H10" s="660"/>
      <c r="I10" s="660"/>
      <c r="J10" s="660"/>
      <c r="K10" s="660"/>
      <c r="L10" s="660"/>
      <c r="M10" s="651"/>
      <c r="N10" s="651"/>
    </row>
    <row r="11" spans="3:22" ht="12.75">
      <c r="C11" s="3"/>
      <c r="D11" s="3"/>
      <c r="E11" s="3"/>
      <c r="F11" s="3"/>
      <c r="I11" s="2"/>
      <c r="J11" s="416" t="s">
        <v>255</v>
      </c>
      <c r="K11" s="405"/>
      <c r="L11" s="416" t="s">
        <v>255</v>
      </c>
      <c r="M11" s="2"/>
      <c r="N11" s="2" t="s">
        <v>17</v>
      </c>
      <c r="O11" s="2"/>
      <c r="P11" s="5"/>
      <c r="Q11" s="2"/>
      <c r="R11" s="5"/>
      <c r="T11" s="5"/>
      <c r="V11" s="5"/>
    </row>
    <row r="12" spans="4:22" ht="11.25">
      <c r="D12" s="4" t="s">
        <v>441</v>
      </c>
      <c r="E12" s="4" t="s">
        <v>418</v>
      </c>
      <c r="F12" s="4" t="s">
        <v>372</v>
      </c>
      <c r="G12" s="4" t="s">
        <v>358</v>
      </c>
      <c r="H12" s="4" t="s">
        <v>351</v>
      </c>
      <c r="I12" s="4"/>
      <c r="J12" s="22">
        <v>2007</v>
      </c>
      <c r="K12" s="4"/>
      <c r="L12" s="22">
        <v>2006</v>
      </c>
      <c r="M12" s="4"/>
      <c r="N12" s="6">
        <v>2006</v>
      </c>
      <c r="O12" s="5"/>
      <c r="P12" s="121"/>
      <c r="Q12" s="5"/>
      <c r="R12" s="121"/>
      <c r="T12" s="121"/>
      <c r="V12" s="121"/>
    </row>
    <row r="13" spans="4:22" ht="11.25">
      <c r="D13" s="5"/>
      <c r="E13" s="5"/>
      <c r="F13" s="5"/>
      <c r="G13" s="166"/>
      <c r="H13" s="166"/>
      <c r="I13" s="5"/>
      <c r="J13" s="5"/>
      <c r="K13" s="5"/>
      <c r="L13" s="5"/>
      <c r="M13" s="5"/>
      <c r="N13" s="121"/>
      <c r="O13" s="5"/>
      <c r="P13" s="121"/>
      <c r="Q13" s="5"/>
      <c r="R13" s="121"/>
      <c r="T13" s="121"/>
      <c r="V13" s="121"/>
    </row>
    <row r="14" spans="3:22" ht="13.5" customHeight="1">
      <c r="C14" s="171" t="s">
        <v>365</v>
      </c>
      <c r="D14" s="213">
        <f>+'Segment  2007 Qtr'!Q24</f>
        <v>656</v>
      </c>
      <c r="E14" s="213">
        <v>649</v>
      </c>
      <c r="F14" s="213">
        <v>701</v>
      </c>
      <c r="G14" s="213">
        <v>665</v>
      </c>
      <c r="H14" s="213">
        <v>578</v>
      </c>
      <c r="I14" s="457"/>
      <c r="J14" s="213">
        <f>+F14+E14+D14</f>
        <v>2006</v>
      </c>
      <c r="K14" s="457"/>
      <c r="L14" s="213">
        <v>1640</v>
      </c>
      <c r="M14" s="457"/>
      <c r="N14" s="213">
        <v>2305</v>
      </c>
      <c r="O14" s="457"/>
      <c r="P14" s="213"/>
      <c r="Q14" s="457"/>
      <c r="R14" s="213"/>
      <c r="S14" s="354"/>
      <c r="T14" s="213"/>
      <c r="V14" s="213"/>
    </row>
    <row r="15" spans="1:22" ht="12.75" customHeight="1">
      <c r="A15" s="91"/>
      <c r="B15" s="91"/>
      <c r="C15" s="15" t="s">
        <v>166</v>
      </c>
      <c r="D15" s="201">
        <f>+'Segment  2007 Qtr'!Q26</f>
        <v>0</v>
      </c>
      <c r="E15" s="217">
        <v>-11</v>
      </c>
      <c r="F15" s="217">
        <v>16</v>
      </c>
      <c r="G15" s="217">
        <v>15</v>
      </c>
      <c r="H15" s="217">
        <v>-113</v>
      </c>
      <c r="I15" s="223"/>
      <c r="J15" s="217">
        <f>+F15+E15+D15</f>
        <v>5</v>
      </c>
      <c r="K15" s="223"/>
      <c r="L15" s="201">
        <v>-113</v>
      </c>
      <c r="M15" s="223"/>
      <c r="N15" s="217">
        <v>-98</v>
      </c>
      <c r="O15" s="223"/>
      <c r="P15" s="217"/>
      <c r="Q15" s="223"/>
      <c r="R15" s="217"/>
      <c r="S15" s="354"/>
      <c r="T15" s="217"/>
      <c r="V15" s="217"/>
    </row>
    <row r="16" spans="1:22" ht="12.75" customHeight="1">
      <c r="A16" s="91"/>
      <c r="B16" s="91"/>
      <c r="C16" s="171" t="s">
        <v>516</v>
      </c>
      <c r="D16" s="217">
        <f>+'Segment  2007 Qtr'!Q27</f>
        <v>-38</v>
      </c>
      <c r="E16" s="201">
        <v>0</v>
      </c>
      <c r="F16" s="201">
        <v>0</v>
      </c>
      <c r="G16" s="201">
        <v>0</v>
      </c>
      <c r="H16" s="201">
        <v>0</v>
      </c>
      <c r="I16" s="223"/>
      <c r="J16" s="217">
        <f>+F16+E16+D16</f>
        <v>-38</v>
      </c>
      <c r="K16" s="223"/>
      <c r="L16" s="201">
        <v>0</v>
      </c>
      <c r="M16" s="223"/>
      <c r="N16" s="201">
        <v>0</v>
      </c>
      <c r="O16" s="223"/>
      <c r="P16" s="217"/>
      <c r="Q16" s="223"/>
      <c r="R16" s="217"/>
      <c r="S16" s="354"/>
      <c r="T16" s="217"/>
      <c r="V16" s="217"/>
    </row>
    <row r="17" spans="1:22" ht="12.75" customHeight="1">
      <c r="A17" s="91"/>
      <c r="B17" s="72"/>
      <c r="C17" s="172" t="s">
        <v>313</v>
      </c>
      <c r="D17" s="217">
        <f>+'Segment  2007 Qtr'!Q28</f>
        <v>-2</v>
      </c>
      <c r="E17" s="217">
        <v>4</v>
      </c>
      <c r="F17" s="217">
        <v>-22</v>
      </c>
      <c r="G17" s="217">
        <v>-7</v>
      </c>
      <c r="H17" s="217">
        <v>-39</v>
      </c>
      <c r="I17" s="223"/>
      <c r="J17" s="217">
        <f>+F17+E17+D17</f>
        <v>-20</v>
      </c>
      <c r="K17" s="223"/>
      <c r="L17" s="217">
        <v>-41</v>
      </c>
      <c r="M17" s="223"/>
      <c r="N17" s="217">
        <v>-48</v>
      </c>
      <c r="O17" s="223"/>
      <c r="P17" s="217"/>
      <c r="Q17" s="223"/>
      <c r="R17" s="217"/>
      <c r="S17" s="354"/>
      <c r="T17" s="217"/>
      <c r="V17" s="217"/>
    </row>
    <row r="18" spans="1:22" ht="12.75" customHeight="1">
      <c r="A18" s="91"/>
      <c r="B18" s="72"/>
      <c r="C18" s="172" t="s">
        <v>336</v>
      </c>
      <c r="D18" s="580">
        <v>0</v>
      </c>
      <c r="E18" s="580">
        <v>0</v>
      </c>
      <c r="F18" s="580">
        <v>0</v>
      </c>
      <c r="G18" s="580">
        <v>0</v>
      </c>
      <c r="H18" s="580">
        <v>0</v>
      </c>
      <c r="I18" s="223"/>
      <c r="J18" s="217">
        <f>+F18+E18+D18</f>
        <v>0</v>
      </c>
      <c r="K18" s="223"/>
      <c r="L18" s="217">
        <v>4</v>
      </c>
      <c r="M18" s="223"/>
      <c r="N18" s="217">
        <v>4</v>
      </c>
      <c r="O18" s="223"/>
      <c r="P18" s="217"/>
      <c r="Q18" s="223"/>
      <c r="R18" s="217"/>
      <c r="S18" s="354"/>
      <c r="T18" s="217"/>
      <c r="V18" s="217"/>
    </row>
    <row r="19" spans="1:22" ht="15.75" customHeight="1" thickBot="1">
      <c r="A19" s="91"/>
      <c r="B19" s="72"/>
      <c r="C19" s="200" t="s">
        <v>366</v>
      </c>
      <c r="D19" s="193">
        <f>+D14-D15-D16+D17-D18</f>
        <v>692</v>
      </c>
      <c r="E19" s="193">
        <f>+E14-E15-E16+E17-E18</f>
        <v>664</v>
      </c>
      <c r="F19" s="193">
        <f>+F14-F15-F16+F17-F18</f>
        <v>663</v>
      </c>
      <c r="G19" s="193">
        <f>+G14-G15-G16+G17-G18</f>
        <v>643</v>
      </c>
      <c r="H19" s="193">
        <f>+H14-H15-H16+H17-H18</f>
        <v>652</v>
      </c>
      <c r="I19" s="598"/>
      <c r="J19" s="193">
        <f>+J14-J15-J16+J17-J18</f>
        <v>2019</v>
      </c>
      <c r="K19" s="598"/>
      <c r="L19" s="193">
        <f>+L14-L15-L16+L17-L18</f>
        <v>1708</v>
      </c>
      <c r="M19" s="598"/>
      <c r="N19" s="193">
        <f>+N14-N15-N16+N17-N18</f>
        <v>2351</v>
      </c>
      <c r="O19" s="383"/>
      <c r="P19" s="213"/>
      <c r="Q19" s="383"/>
      <c r="R19" s="213"/>
      <c r="S19" s="42"/>
      <c r="T19" s="213"/>
      <c r="V19" s="213"/>
    </row>
    <row r="20" spans="1:18" ht="12.75" customHeight="1" thickTop="1">
      <c r="A20" s="91"/>
      <c r="B20" s="72"/>
      <c r="C20" s="93"/>
      <c r="D20" s="93"/>
      <c r="E20" s="93"/>
      <c r="F20" s="180"/>
      <c r="G20" s="180"/>
      <c r="H20" s="180"/>
      <c r="I20" s="52"/>
      <c r="J20" s="52"/>
      <c r="K20" s="52"/>
      <c r="L20" s="460"/>
      <c r="M20" s="52"/>
      <c r="N20" s="180"/>
      <c r="R20" s="7"/>
    </row>
    <row r="21" spans="2:16" ht="12.75" customHeight="1">
      <c r="B21" s="75"/>
      <c r="C21" s="650" t="s">
        <v>517</v>
      </c>
      <c r="D21" s="651"/>
      <c r="E21" s="651"/>
      <c r="F21" s="651"/>
      <c r="G21" s="651"/>
      <c r="H21" s="651"/>
      <c r="I21" s="651"/>
      <c r="J21" s="651"/>
      <c r="K21" s="651"/>
      <c r="L21" s="651"/>
      <c r="M21" s="651"/>
      <c r="N21" s="651"/>
      <c r="O21" s="651"/>
      <c r="P21" s="651"/>
    </row>
    <row r="22" spans="2:14" ht="12.75" customHeight="1">
      <c r="B22" s="72"/>
      <c r="C22"/>
      <c r="D22"/>
      <c r="E22"/>
      <c r="F22"/>
      <c r="G22"/>
      <c r="H22"/>
      <c r="I22"/>
      <c r="J22"/>
      <c r="N22" s="7"/>
    </row>
    <row r="23" spans="2:14" ht="12.75" customHeight="1">
      <c r="B23" s="75"/>
      <c r="C23"/>
      <c r="D23"/>
      <c r="E23"/>
      <c r="F23"/>
      <c r="G23"/>
      <c r="H23"/>
      <c r="I23"/>
      <c r="J23"/>
      <c r="N23" s="7"/>
    </row>
    <row r="24" spans="2:10" ht="12.75" customHeight="1">
      <c r="B24" s="7"/>
      <c r="C24"/>
      <c r="D24"/>
      <c r="E24"/>
      <c r="F24"/>
      <c r="G24"/>
      <c r="H24"/>
      <c r="I24"/>
      <c r="J24"/>
    </row>
    <row r="25" spans="2:10" ht="12.75" customHeight="1">
      <c r="B25" s="7"/>
      <c r="C25"/>
      <c r="D25"/>
      <c r="E25"/>
      <c r="F25"/>
      <c r="G25"/>
      <c r="H25"/>
      <c r="I25"/>
      <c r="J25"/>
    </row>
    <row r="26" spans="2:12" ht="4.5" customHeight="1">
      <c r="B26" s="7"/>
      <c r="C26"/>
      <c r="D26"/>
      <c r="E26"/>
      <c r="F26"/>
      <c r="G26"/>
      <c r="H26"/>
      <c r="I26"/>
      <c r="J26"/>
      <c r="L26" s="499"/>
    </row>
    <row r="27" spans="2:10" ht="12.75" customHeight="1">
      <c r="B27" s="7"/>
      <c r="C27"/>
      <c r="D27"/>
      <c r="E27"/>
      <c r="F27"/>
      <c r="G27"/>
      <c r="H27"/>
      <c r="I27"/>
      <c r="J27"/>
    </row>
    <row r="28" spans="2:10" ht="12.75" customHeight="1">
      <c r="B28" s="7"/>
      <c r="C28"/>
      <c r="D28"/>
      <c r="E28"/>
      <c r="F28"/>
      <c r="G28"/>
      <c r="H28"/>
      <c r="I28"/>
      <c r="J28"/>
    </row>
    <row r="29" spans="1:10" ht="12.75" customHeight="1">
      <c r="A29" s="95"/>
      <c r="B29" s="7"/>
      <c r="C29"/>
      <c r="D29"/>
      <c r="E29"/>
      <c r="F29"/>
      <c r="G29"/>
      <c r="H29"/>
      <c r="I29"/>
      <c r="J29"/>
    </row>
    <row r="30" spans="1:10" ht="12.75" customHeight="1">
      <c r="A30" s="95"/>
      <c r="B30" s="7"/>
      <c r="C30"/>
      <c r="D30"/>
      <c r="E30"/>
      <c r="F30"/>
      <c r="G30"/>
      <c r="H30"/>
      <c r="I30"/>
      <c r="J30"/>
    </row>
    <row r="31" spans="1:10" ht="12.75" customHeight="1">
      <c r="A31" s="95"/>
      <c r="B31" s="96"/>
      <c r="C31"/>
      <c r="D31"/>
      <c r="E31"/>
      <c r="F31"/>
      <c r="G31"/>
      <c r="H31"/>
      <c r="I31"/>
      <c r="J31"/>
    </row>
    <row r="32" spans="2:11" ht="12.75" customHeight="1">
      <c r="B32" s="7"/>
      <c r="C32"/>
      <c r="D32"/>
      <c r="E32"/>
      <c r="F32"/>
      <c r="G32"/>
      <c r="H32"/>
      <c r="I32"/>
      <c r="J32"/>
      <c r="K32" s="23"/>
    </row>
    <row r="33" ht="12.75" customHeight="1">
      <c r="A33" s="95"/>
    </row>
    <row r="34" ht="12.75" customHeight="1"/>
    <row r="35" ht="12.75" customHeight="1"/>
    <row r="36" ht="12.75" customHeight="1"/>
    <row r="37" ht="12.75" customHeight="1"/>
    <row r="38" ht="12.75" customHeight="1"/>
    <row r="39" ht="12.75" customHeight="1"/>
    <row r="40" ht="12.75" customHeight="1"/>
    <row r="41" ht="12.75" customHeight="1"/>
    <row r="42" ht="12.75" customHeight="1"/>
  </sheetData>
  <mergeCells count="10">
    <mergeCell ref="C5:E5"/>
    <mergeCell ref="A1:L1"/>
    <mergeCell ref="A2:L2"/>
    <mergeCell ref="A3:L3"/>
    <mergeCell ref="A4:L4"/>
    <mergeCell ref="C21:P21"/>
    <mergeCell ref="L6:M6"/>
    <mergeCell ref="C8:N8"/>
    <mergeCell ref="C9:N9"/>
    <mergeCell ref="C10:N10"/>
  </mergeCells>
  <printOptions/>
  <pageMargins left="0.5" right="0.5" top="0.5" bottom="0.55" header="0.75" footer="0.3"/>
  <pageSetup horizontalDpi="600" verticalDpi="600" orientation="landscape" r:id="rId2"/>
  <headerFooter alignWithMargins="0">
    <oddFooter>&amp;L&amp;A&amp;R&amp;"Arial,Regular"&amp;8Page 21</oddFooter>
  </headerFooter>
  <drawing r:id="rId1"/>
</worksheet>
</file>

<file path=xl/worksheets/sheet24.xml><?xml version="1.0" encoding="utf-8"?>
<worksheet xmlns="http://schemas.openxmlformats.org/spreadsheetml/2006/main" xmlns:r="http://schemas.openxmlformats.org/officeDocument/2006/relationships">
  <sheetPr codeName="Sheet35">
    <pageSetUpPr fitToPage="1"/>
  </sheetPr>
  <dimension ref="A1:U36"/>
  <sheetViews>
    <sheetView workbookViewId="0" topLeftCell="A1">
      <selection activeCell="A1" sqref="A1:K1"/>
    </sheetView>
  </sheetViews>
  <sheetFormatPr defaultColWidth="9.33203125" defaultRowHeight="12.75"/>
  <cols>
    <col min="1" max="1" width="2.83203125" style="1" customWidth="1"/>
    <col min="2" max="2" width="5.5" style="1" customWidth="1"/>
    <col min="3" max="3" width="38.16015625" style="1" customWidth="1"/>
    <col min="4" max="4" width="10" style="1" customWidth="1"/>
    <col min="5" max="5" width="15.83203125" style="1" customWidth="1"/>
    <col min="6" max="6" width="2.83203125" style="1" customWidth="1"/>
    <col min="7" max="7" width="15.83203125" style="1" customWidth="1"/>
    <col min="8" max="8" width="3.83203125" style="1" customWidth="1"/>
    <col min="9" max="9" width="15.83203125" style="1" customWidth="1"/>
    <col min="10" max="10" width="3.83203125" style="1" customWidth="1"/>
    <col min="11" max="11" width="15.83203125" style="1" customWidth="1"/>
    <col min="12" max="12" width="15.5" style="1" customWidth="1"/>
    <col min="13" max="13" width="8.83203125" style="1" customWidth="1"/>
    <col min="14" max="17" width="8.16015625" style="1" customWidth="1"/>
    <col min="18" max="18" width="15.5" style="1" customWidth="1"/>
    <col min="19" max="19" width="14.33203125" style="1" bestFit="1" customWidth="1"/>
    <col min="20" max="16384" width="8.16015625" style="1" customWidth="1"/>
  </cols>
  <sheetData>
    <row r="1" spans="1:13" ht="12.75">
      <c r="A1" s="626" t="s">
        <v>89</v>
      </c>
      <c r="B1" s="626"/>
      <c r="C1" s="626"/>
      <c r="D1" s="626"/>
      <c r="E1" s="626"/>
      <c r="F1" s="626"/>
      <c r="G1" s="626"/>
      <c r="H1" s="626"/>
      <c r="I1" s="626"/>
      <c r="J1" s="626"/>
      <c r="K1" s="626"/>
      <c r="L1" s="341"/>
      <c r="M1" s="341"/>
    </row>
    <row r="2" spans="1:13" ht="12">
      <c r="A2" s="627" t="s">
        <v>302</v>
      </c>
      <c r="B2" s="627"/>
      <c r="C2" s="627"/>
      <c r="D2" s="627"/>
      <c r="E2" s="627"/>
      <c r="F2" s="627"/>
      <c r="G2" s="627"/>
      <c r="H2" s="627"/>
      <c r="I2" s="627"/>
      <c r="J2" s="627"/>
      <c r="K2" s="627"/>
      <c r="L2" s="54"/>
      <c r="M2" s="54"/>
    </row>
    <row r="3" spans="1:13" ht="12.75" customHeight="1">
      <c r="A3" s="662" t="s">
        <v>205</v>
      </c>
      <c r="B3" s="662"/>
      <c r="C3" s="662"/>
      <c r="D3" s="662"/>
      <c r="E3" s="662"/>
      <c r="F3" s="662"/>
      <c r="G3" s="662"/>
      <c r="H3" s="662"/>
      <c r="I3" s="662"/>
      <c r="J3" s="662"/>
      <c r="K3" s="662"/>
      <c r="L3" s="518"/>
      <c r="M3" s="23"/>
    </row>
    <row r="4" spans="1:13" ht="12.75" customHeight="1">
      <c r="A4" s="662" t="s">
        <v>163</v>
      </c>
      <c r="B4" s="662"/>
      <c r="C4" s="662"/>
      <c r="D4" s="662"/>
      <c r="E4" s="662"/>
      <c r="F4" s="662"/>
      <c r="G4" s="662"/>
      <c r="H4" s="662"/>
      <c r="I4" s="662"/>
      <c r="J4" s="662"/>
      <c r="K4" s="662"/>
      <c r="L4" s="518"/>
      <c r="M4" s="23"/>
    </row>
    <row r="5" spans="3:9" ht="11.25" customHeight="1">
      <c r="C5" s="661"/>
      <c r="D5" s="661"/>
      <c r="E5" s="661"/>
      <c r="F5" s="661"/>
      <c r="G5" s="661"/>
      <c r="H5" s="661"/>
      <c r="I5" s="661"/>
    </row>
    <row r="6" spans="1:10" ht="11.25">
      <c r="A6" s="2"/>
      <c r="B6" s="2"/>
      <c r="C6" s="23"/>
      <c r="D6" s="23"/>
      <c r="E6" s="23"/>
      <c r="F6" s="23"/>
      <c r="G6" s="23"/>
      <c r="H6" s="23"/>
      <c r="I6" s="23"/>
      <c r="J6" s="23"/>
    </row>
    <row r="7" spans="1:13" ht="12.75">
      <c r="A7" s="2"/>
      <c r="B7" s="2"/>
      <c r="C7" s="222" t="s">
        <v>303</v>
      </c>
      <c r="D7" s="222"/>
      <c r="E7" s="222"/>
      <c r="F7" s="222"/>
      <c r="G7" s="222"/>
      <c r="H7" s="222"/>
      <c r="I7" s="222"/>
      <c r="J7" s="222"/>
      <c r="K7"/>
      <c r="M7" s="159"/>
    </row>
    <row r="8" spans="1:13" ht="11.25">
      <c r="A8" s="2"/>
      <c r="B8" s="2"/>
      <c r="C8" s="2"/>
      <c r="D8" s="2"/>
      <c r="E8" s="2"/>
      <c r="F8" s="2"/>
      <c r="G8" s="2"/>
      <c r="H8" s="2"/>
      <c r="I8" s="2"/>
      <c r="J8" s="2"/>
      <c r="M8" s="7"/>
    </row>
    <row r="9" spans="1:21" ht="11.25">
      <c r="A9" s="2"/>
      <c r="B9" s="2"/>
      <c r="C9" s="2"/>
      <c r="D9" s="2"/>
      <c r="E9" s="377" t="s">
        <v>353</v>
      </c>
      <c r="F9" s="2"/>
      <c r="G9" s="377" t="s">
        <v>420</v>
      </c>
      <c r="I9" s="377" t="s">
        <v>208</v>
      </c>
      <c r="J9" s="2"/>
      <c r="K9" s="377" t="s">
        <v>207</v>
      </c>
      <c r="L9" s="42"/>
      <c r="M9" s="75"/>
      <c r="O9" s="42"/>
      <c r="P9" s="42"/>
      <c r="Q9" s="42"/>
      <c r="R9" s="377" t="s">
        <v>208</v>
      </c>
      <c r="S9" s="507" t="s">
        <v>353</v>
      </c>
      <c r="T9" s="42"/>
      <c r="U9" s="42"/>
    </row>
    <row r="10" spans="1:21" ht="11.25">
      <c r="A10" s="2"/>
      <c r="B10" s="2"/>
      <c r="C10" s="2"/>
      <c r="D10" s="2"/>
      <c r="E10" s="269" t="s">
        <v>378</v>
      </c>
      <c r="F10" s="2"/>
      <c r="G10" s="269" t="s">
        <v>378</v>
      </c>
      <c r="I10" s="269" t="s">
        <v>378</v>
      </c>
      <c r="J10" s="2"/>
      <c r="K10" s="269" t="s">
        <v>320</v>
      </c>
      <c r="L10" s="42"/>
      <c r="M10" s="75"/>
      <c r="O10" s="42"/>
      <c r="P10" s="42"/>
      <c r="Q10" s="42"/>
      <c r="R10" s="492" t="s">
        <v>259</v>
      </c>
      <c r="S10" s="269" t="s">
        <v>259</v>
      </c>
      <c r="T10" s="42"/>
      <c r="U10" s="42"/>
    </row>
    <row r="11" spans="1:21" ht="11.25">
      <c r="A11" s="2"/>
      <c r="B11" s="2"/>
      <c r="C11" s="2"/>
      <c r="D11" s="2"/>
      <c r="E11" s="334"/>
      <c r="F11" s="2"/>
      <c r="G11" s="334"/>
      <c r="I11" s="334"/>
      <c r="J11" s="2"/>
      <c r="K11" s="334"/>
      <c r="L11" s="42"/>
      <c r="M11" s="75"/>
      <c r="O11" s="42"/>
      <c r="P11" s="42"/>
      <c r="Q11" s="42"/>
      <c r="R11" s="334"/>
      <c r="S11" s="334"/>
      <c r="T11" s="42"/>
      <c r="U11" s="42"/>
    </row>
    <row r="12" spans="3:21" ht="12" customHeight="1">
      <c r="C12" s="1" t="s">
        <v>114</v>
      </c>
      <c r="E12" s="32">
        <f>'Consol Bal Sheet'!E46</f>
        <v>16035</v>
      </c>
      <c r="G12" s="32">
        <f>'Consol Bal Sheet'!G46</f>
        <v>15184</v>
      </c>
      <c r="I12" s="32">
        <f>'Consol Bal Sheet'!I46</f>
        <v>14959</v>
      </c>
      <c r="K12" s="32">
        <f>'Consol Bal Sheet'!K46</f>
        <v>14278</v>
      </c>
      <c r="L12" s="42"/>
      <c r="M12" s="75"/>
      <c r="O12" s="42"/>
      <c r="P12" s="42"/>
      <c r="Q12" s="42"/>
      <c r="R12" s="32">
        <v>9970</v>
      </c>
      <c r="S12" s="32">
        <v>10229</v>
      </c>
      <c r="T12" s="42"/>
      <c r="U12" s="42"/>
    </row>
    <row r="13" spans="3:21" ht="12" customHeight="1">
      <c r="C13" s="15" t="s">
        <v>397</v>
      </c>
      <c r="D13" s="15"/>
      <c r="E13" s="378">
        <v>-557</v>
      </c>
      <c r="F13" s="15"/>
      <c r="G13" s="378">
        <v>-557</v>
      </c>
      <c r="I13" s="378">
        <v>-557</v>
      </c>
      <c r="J13" s="15"/>
      <c r="K13" s="378">
        <v>-557</v>
      </c>
      <c r="L13" s="42"/>
      <c r="M13" s="75"/>
      <c r="O13" s="42"/>
      <c r="P13" s="42"/>
      <c r="Q13" s="42"/>
      <c r="R13" s="378">
        <v>-557</v>
      </c>
      <c r="S13" s="378">
        <v>-557</v>
      </c>
      <c r="T13" s="42"/>
      <c r="U13" s="42"/>
    </row>
    <row r="14" spans="3:21" ht="12" customHeight="1">
      <c r="C14" s="1" t="s">
        <v>304</v>
      </c>
      <c r="E14" s="38">
        <f>SUM(E12:E13)</f>
        <v>15478</v>
      </c>
      <c r="G14" s="38">
        <f>SUM(G12:G13)</f>
        <v>14627</v>
      </c>
      <c r="I14" s="38">
        <f>SUM(I12:I13)</f>
        <v>14402</v>
      </c>
      <c r="K14" s="38">
        <f>SUM(K12:K13)</f>
        <v>13721</v>
      </c>
      <c r="L14" s="42"/>
      <c r="M14" s="75"/>
      <c r="O14" s="42"/>
      <c r="P14" s="42"/>
      <c r="Q14" s="42"/>
      <c r="R14" s="38">
        <f>SUM(R12:R13)</f>
        <v>9413</v>
      </c>
      <c r="S14" s="38">
        <f>SUM(S12:S13)</f>
        <v>9672</v>
      </c>
      <c r="T14" s="42"/>
      <c r="U14" s="42"/>
    </row>
    <row r="15" spans="3:21" ht="12" customHeight="1">
      <c r="C15" s="24" t="s">
        <v>35</v>
      </c>
      <c r="D15" s="24"/>
      <c r="E15" s="273">
        <f>'Consol Bal Sheet'!E22</f>
        <v>2731</v>
      </c>
      <c r="F15" s="24"/>
      <c r="G15" s="273">
        <f>'Consol Bal Sheet'!G22</f>
        <v>2731</v>
      </c>
      <c r="I15" s="273">
        <f>'Consol Bal Sheet'!I22</f>
        <v>2731</v>
      </c>
      <c r="J15" s="24"/>
      <c r="K15" s="273">
        <f>'Consol Bal Sheet'!K22</f>
        <v>2731</v>
      </c>
      <c r="L15" s="42"/>
      <c r="M15" s="75"/>
      <c r="O15" s="42"/>
      <c r="P15" s="42"/>
      <c r="Q15" s="42"/>
      <c r="R15" s="273">
        <v>2695</v>
      </c>
      <c r="S15" s="273">
        <v>2703</v>
      </c>
      <c r="T15" s="42"/>
      <c r="U15" s="42"/>
    </row>
    <row r="16" spans="3:21" ht="12" customHeight="1" thickBot="1">
      <c r="C16" s="1" t="s">
        <v>305</v>
      </c>
      <c r="E16" s="379">
        <f>+E14-E15</f>
        <v>12747</v>
      </c>
      <c r="G16" s="379">
        <f>+G14-G15</f>
        <v>11896</v>
      </c>
      <c r="I16" s="379">
        <f>+I14-I15</f>
        <v>11671</v>
      </c>
      <c r="K16" s="379">
        <f>+K14-K15</f>
        <v>10990</v>
      </c>
      <c r="L16" s="42"/>
      <c r="M16" s="75"/>
      <c r="O16" s="42"/>
      <c r="P16" s="42"/>
      <c r="Q16" s="42"/>
      <c r="R16" s="379">
        <f>+R14-R15</f>
        <v>6718</v>
      </c>
      <c r="S16" s="379">
        <f>+S14-S15</f>
        <v>6969</v>
      </c>
      <c r="T16" s="42"/>
      <c r="U16" s="42"/>
    </row>
    <row r="17" spans="3:21" ht="13.5" thickTop="1">
      <c r="C17" s="52"/>
      <c r="D17" s="52"/>
      <c r="E17" s="145"/>
      <c r="F17" s="52"/>
      <c r="G17" s="145"/>
      <c r="I17" s="145"/>
      <c r="J17" s="52"/>
      <c r="K17" s="145"/>
      <c r="L17" s="42"/>
      <c r="M17" s="75"/>
      <c r="O17" s="42"/>
      <c r="P17" s="42"/>
      <c r="Q17" s="42"/>
      <c r="R17" s="145"/>
      <c r="S17" s="145"/>
      <c r="T17" s="42"/>
      <c r="U17" s="42"/>
    </row>
    <row r="18" spans="3:21" ht="12.75">
      <c r="C18" s="52"/>
      <c r="D18" s="52"/>
      <c r="E18" s="491"/>
      <c r="F18" s="52"/>
      <c r="G18" s="491"/>
      <c r="I18" s="491"/>
      <c r="J18" s="52"/>
      <c r="K18" s="491"/>
      <c r="L18" s="42"/>
      <c r="M18" s="75"/>
      <c r="O18" s="42"/>
      <c r="P18" s="42"/>
      <c r="Q18" s="42"/>
      <c r="R18" s="145"/>
      <c r="S18" s="145"/>
      <c r="T18" s="42"/>
      <c r="U18" s="42"/>
    </row>
    <row r="19" spans="3:19" ht="12" customHeight="1" thickBot="1">
      <c r="C19" s="15" t="s">
        <v>315</v>
      </c>
      <c r="D19" s="15"/>
      <c r="E19" s="503">
        <f>+'Earnings per share '!D22</f>
        <v>329460367</v>
      </c>
      <c r="F19" s="15"/>
      <c r="G19" s="503">
        <v>329009343</v>
      </c>
      <c r="I19" s="503">
        <v>328309225</v>
      </c>
      <c r="J19" s="15"/>
      <c r="K19" s="503">
        <v>326455468</v>
      </c>
      <c r="M19" s="7"/>
      <c r="R19" s="463">
        <v>287353327</v>
      </c>
      <c r="S19" s="463">
        <v>288672450</v>
      </c>
    </row>
    <row r="20" spans="3:19" ht="13.5" thickTop="1">
      <c r="C20" s="52"/>
      <c r="D20" s="52"/>
      <c r="E20" s="145"/>
      <c r="F20" s="52"/>
      <c r="G20" s="145"/>
      <c r="I20" s="145"/>
      <c r="J20" s="52"/>
      <c r="K20" s="145"/>
      <c r="M20" s="7"/>
      <c r="R20" s="145"/>
      <c r="S20" s="145"/>
    </row>
    <row r="21" spans="3:19" ht="12" customHeight="1">
      <c r="C21" s="15" t="s">
        <v>220</v>
      </c>
      <c r="D21" s="15"/>
      <c r="E21" s="381">
        <f>+E14/(E19/1000000)</f>
        <v>46.97985418076099</v>
      </c>
      <c r="F21" s="15"/>
      <c r="G21" s="381">
        <f>+G14/(G19/1000000)</f>
        <v>44.45770404763247</v>
      </c>
      <c r="I21" s="381">
        <f>+I14/(I19/1000000)</f>
        <v>43.86718039981971</v>
      </c>
      <c r="J21" s="15"/>
      <c r="K21" s="381">
        <f>+K14/(K19/1000000)</f>
        <v>42.03023488643174</v>
      </c>
      <c r="M21" s="7"/>
      <c r="R21" s="381">
        <f>+R14/(R19/1000000)</f>
        <v>32.75758140082367</v>
      </c>
      <c r="S21" s="381">
        <f>+S14/(S19/1000000)</f>
        <v>33.5051024093224</v>
      </c>
    </row>
    <row r="22" spans="3:19" ht="12" customHeight="1">
      <c r="C22" s="15" t="s">
        <v>301</v>
      </c>
      <c r="D22" s="15"/>
      <c r="E22" s="381">
        <f>+E16/(E19/1000000)</f>
        <v>38.690541493872615</v>
      </c>
      <c r="F22" s="15"/>
      <c r="G22" s="381">
        <f>+G16/(G19/1000000)</f>
        <v>36.15702791759321</v>
      </c>
      <c r="I22" s="381">
        <f>+I16/(I19/1000000)</f>
        <v>35.54880311389361</v>
      </c>
      <c r="J22" s="15"/>
      <c r="K22" s="381">
        <f>+K16/(K19/1000000)</f>
        <v>33.664622214261705</v>
      </c>
      <c r="M22" s="7"/>
      <c r="R22" s="381">
        <f>+R16/(R19/1000000)</f>
        <v>23.378883655660616</v>
      </c>
      <c r="S22" s="381">
        <f>+S16/(S19/1000000)</f>
        <v>24.14154866527789</v>
      </c>
    </row>
    <row r="23" ht="11.25">
      <c r="S23" s="381"/>
    </row>
    <row r="24" spans="3:19" ht="12.75">
      <c r="C24"/>
      <c r="D24"/>
      <c r="E24"/>
      <c r="F24"/>
      <c r="G24"/>
      <c r="H24"/>
      <c r="I24"/>
      <c r="J24"/>
      <c r="S24" s="381"/>
    </row>
    <row r="25" spans="3:19" ht="12.75">
      <c r="C25"/>
      <c r="D25"/>
      <c r="E25"/>
      <c r="F25"/>
      <c r="G25"/>
      <c r="H25"/>
      <c r="I25"/>
      <c r="J25"/>
      <c r="K25" s="487"/>
      <c r="S25" s="381"/>
    </row>
    <row r="26" spans="3:10" ht="12.75">
      <c r="C26"/>
      <c r="D26"/>
      <c r="E26"/>
      <c r="F26"/>
      <c r="G26"/>
      <c r="H26"/>
      <c r="I26"/>
      <c r="J26"/>
    </row>
    <row r="27" spans="3:10" ht="12.75">
      <c r="C27"/>
      <c r="D27"/>
      <c r="E27"/>
      <c r="F27"/>
      <c r="G27"/>
      <c r="H27"/>
      <c r="I27"/>
      <c r="J27"/>
    </row>
    <row r="28" spans="3:10" ht="12.75">
      <c r="C28"/>
      <c r="D28"/>
      <c r="E28"/>
      <c r="F28"/>
      <c r="G28"/>
      <c r="H28"/>
      <c r="I28"/>
      <c r="J28"/>
    </row>
    <row r="29" spans="3:10" ht="12.75">
      <c r="C29"/>
      <c r="D29"/>
      <c r="E29"/>
      <c r="F29"/>
      <c r="G29"/>
      <c r="H29"/>
      <c r="I29"/>
      <c r="J29"/>
    </row>
    <row r="30" spans="3:10" ht="12.75">
      <c r="C30"/>
      <c r="D30"/>
      <c r="E30"/>
      <c r="F30"/>
      <c r="G30"/>
      <c r="H30"/>
      <c r="I30"/>
      <c r="J30"/>
    </row>
    <row r="31" spans="3:10" ht="12.75">
      <c r="C31"/>
      <c r="D31"/>
      <c r="E31"/>
      <c r="F31"/>
      <c r="G31"/>
      <c r="H31"/>
      <c r="I31"/>
      <c r="J31"/>
    </row>
    <row r="32" spans="3:10" ht="12.75">
      <c r="C32"/>
      <c r="D32"/>
      <c r="E32"/>
      <c r="F32"/>
      <c r="G32"/>
      <c r="H32"/>
      <c r="I32"/>
      <c r="J32"/>
    </row>
    <row r="33" spans="3:10" ht="12.75">
      <c r="C33"/>
      <c r="D33"/>
      <c r="E33"/>
      <c r="F33"/>
      <c r="G33"/>
      <c r="H33"/>
      <c r="I33"/>
      <c r="J33"/>
    </row>
    <row r="34" spans="3:10" ht="22.5" customHeight="1">
      <c r="C34"/>
      <c r="D34"/>
      <c r="E34"/>
      <c r="F34"/>
      <c r="G34"/>
      <c r="H34"/>
      <c r="I34"/>
      <c r="J34"/>
    </row>
    <row r="35" spans="3:10" ht="12.75">
      <c r="C35"/>
      <c r="D35"/>
      <c r="E35"/>
      <c r="F35"/>
      <c r="G35"/>
      <c r="H35"/>
      <c r="I35"/>
      <c r="J35"/>
    </row>
    <row r="36" spans="3:10" ht="12.75">
      <c r="C36"/>
      <c r="D36"/>
      <c r="E36"/>
      <c r="F36"/>
      <c r="G36"/>
      <c r="H36"/>
      <c r="I36"/>
      <c r="J36"/>
    </row>
  </sheetData>
  <mergeCells count="5">
    <mergeCell ref="C5:I5"/>
    <mergeCell ref="A1:K1"/>
    <mergeCell ref="A2:K2"/>
    <mergeCell ref="A3:K3"/>
    <mergeCell ref="A4:K4"/>
  </mergeCells>
  <printOptions/>
  <pageMargins left="0.5" right="0.5" top="0.5" bottom="0.55" header="0.75" footer="0.3"/>
  <pageSetup fitToHeight="1" fitToWidth="1" horizontalDpi="600" verticalDpi="600" orientation="landscape" r:id="rId2"/>
  <headerFooter alignWithMargins="0">
    <oddFooter>&amp;L&amp;A&amp;R&amp;"Arial,Regular"&amp;8Page 22</oddFooter>
  </headerFooter>
  <drawing r:id="rId1"/>
</worksheet>
</file>

<file path=xl/worksheets/sheet25.xml><?xml version="1.0" encoding="utf-8"?>
<worksheet xmlns="http://schemas.openxmlformats.org/spreadsheetml/2006/main" xmlns:r="http://schemas.openxmlformats.org/officeDocument/2006/relationships">
  <sheetPr codeName="Sheet6"/>
  <dimension ref="A1:AA24"/>
  <sheetViews>
    <sheetView workbookViewId="0" topLeftCell="A1">
      <selection activeCell="A1" sqref="A1:P1"/>
    </sheetView>
  </sheetViews>
  <sheetFormatPr defaultColWidth="9.33203125" defaultRowHeight="12.75"/>
  <cols>
    <col min="1" max="1" width="2.83203125" style="52" customWidth="1"/>
    <col min="2" max="2" width="3.66015625" style="52" customWidth="1"/>
    <col min="3" max="6" width="9.33203125" style="52" customWidth="1"/>
    <col min="7" max="7" width="11.83203125" style="52" customWidth="1"/>
    <col min="8" max="12" width="9.83203125" style="52" customWidth="1"/>
    <col min="13" max="13" width="2.33203125" style="52" customWidth="1"/>
    <col min="14" max="14" width="9.83203125" style="52" customWidth="1"/>
    <col min="15" max="15" width="2.33203125" style="52" customWidth="1"/>
    <col min="16" max="16" width="9.83203125" style="52" customWidth="1"/>
    <col min="17" max="17" width="2.33203125" style="52" customWidth="1"/>
    <col min="18" max="19" width="9.83203125" style="52" customWidth="1"/>
    <col min="20" max="20" width="2.33203125" style="52" customWidth="1"/>
    <col min="21" max="22" width="11.66015625" style="52" customWidth="1"/>
    <col min="23" max="23" width="10" style="52" bestFit="1" customWidth="1"/>
    <col min="24" max="16384" width="9.33203125" style="52" customWidth="1"/>
  </cols>
  <sheetData>
    <row r="1" spans="1:19" ht="12.75">
      <c r="A1" s="601" t="s">
        <v>89</v>
      </c>
      <c r="B1" s="601"/>
      <c r="C1" s="601"/>
      <c r="D1" s="601"/>
      <c r="E1" s="601"/>
      <c r="F1" s="601"/>
      <c r="G1" s="601"/>
      <c r="H1" s="601"/>
      <c r="I1" s="601"/>
      <c r="J1" s="601"/>
      <c r="K1" s="601"/>
      <c r="L1" s="601"/>
      <c r="M1" s="601"/>
      <c r="N1" s="601"/>
      <c r="O1" s="601"/>
      <c r="P1" s="601"/>
      <c r="Q1" s="277"/>
      <c r="R1" s="277"/>
      <c r="S1" s="277"/>
    </row>
    <row r="2" spans="1:19" ht="12.75">
      <c r="A2" s="632" t="s">
        <v>240</v>
      </c>
      <c r="B2" s="632"/>
      <c r="C2" s="632"/>
      <c r="D2" s="632"/>
      <c r="E2" s="632"/>
      <c r="F2" s="632"/>
      <c r="G2" s="632"/>
      <c r="H2" s="632"/>
      <c r="I2" s="632"/>
      <c r="J2" s="632"/>
      <c r="K2" s="632"/>
      <c r="L2" s="632"/>
      <c r="M2" s="632"/>
      <c r="N2" s="632"/>
      <c r="O2" s="632"/>
      <c r="P2" s="632"/>
      <c r="Q2" s="279"/>
      <c r="R2" s="279"/>
      <c r="S2" s="279"/>
    </row>
    <row r="3" spans="1:19" ht="12.75">
      <c r="A3" s="631" t="s">
        <v>147</v>
      </c>
      <c r="B3" s="631"/>
      <c r="C3" s="631"/>
      <c r="D3" s="631"/>
      <c r="E3" s="631"/>
      <c r="F3" s="631"/>
      <c r="G3" s="631"/>
      <c r="H3" s="631"/>
      <c r="I3" s="631"/>
      <c r="J3" s="631"/>
      <c r="K3" s="631"/>
      <c r="L3" s="631"/>
      <c r="M3" s="631"/>
      <c r="N3" s="631"/>
      <c r="O3" s="631"/>
      <c r="P3" s="631"/>
      <c r="Q3" s="278"/>
      <c r="R3" s="278"/>
      <c r="S3" s="278"/>
    </row>
    <row r="4" spans="1:19" ht="12.75">
      <c r="A4" s="631" t="s">
        <v>163</v>
      </c>
      <c r="B4" s="631"/>
      <c r="C4" s="631"/>
      <c r="D4" s="631"/>
      <c r="E4" s="631"/>
      <c r="F4" s="631"/>
      <c r="G4" s="631"/>
      <c r="H4" s="631"/>
      <c r="I4" s="631"/>
      <c r="J4" s="631"/>
      <c r="K4" s="631"/>
      <c r="L4" s="631"/>
      <c r="M4" s="631"/>
      <c r="N4" s="631"/>
      <c r="O4" s="631"/>
      <c r="P4" s="631"/>
      <c r="Q4" s="278"/>
      <c r="R4" s="278"/>
      <c r="S4" s="278"/>
    </row>
    <row r="5" spans="4:12" ht="9" customHeight="1">
      <c r="D5" s="68"/>
      <c r="E5" s="68"/>
      <c r="F5" s="68"/>
      <c r="G5" s="68"/>
      <c r="H5" s="68"/>
      <c r="I5" s="68"/>
      <c r="J5" s="69"/>
      <c r="K5" s="69"/>
      <c r="L5" s="69"/>
    </row>
    <row r="6" spans="3:23" ht="14.25" customHeight="1">
      <c r="C6" s="661"/>
      <c r="D6" s="661"/>
      <c r="E6" s="661"/>
      <c r="F6" s="14"/>
      <c r="G6" s="14"/>
      <c r="H6" s="14"/>
      <c r="J6" s="42"/>
      <c r="K6" s="42"/>
      <c r="M6" s="54"/>
      <c r="N6" s="2" t="s">
        <v>255</v>
      </c>
      <c r="O6" s="405"/>
      <c r="P6" s="2" t="s">
        <v>255</v>
      </c>
      <c r="Q6" s="54"/>
      <c r="R6" s="2" t="s">
        <v>17</v>
      </c>
      <c r="S6" s="54"/>
      <c r="T6" s="5"/>
      <c r="U6" s="54"/>
      <c r="V6" s="2"/>
      <c r="W6" s="2"/>
    </row>
    <row r="7" spans="3:23" ht="12.75">
      <c r="C7" s="243" t="s">
        <v>228</v>
      </c>
      <c r="H7" s="4" t="s">
        <v>441</v>
      </c>
      <c r="I7" s="4" t="s">
        <v>418</v>
      </c>
      <c r="J7" s="4" t="s">
        <v>372</v>
      </c>
      <c r="K7" s="4" t="s">
        <v>358</v>
      </c>
      <c r="L7" s="4" t="s">
        <v>351</v>
      </c>
      <c r="M7" s="79"/>
      <c r="N7" s="6">
        <v>2007</v>
      </c>
      <c r="O7" s="79"/>
      <c r="P7" s="6">
        <v>2006</v>
      </c>
      <c r="Q7" s="79"/>
      <c r="R7" s="6">
        <v>2006</v>
      </c>
      <c r="S7" s="1"/>
      <c r="T7" s="121"/>
      <c r="U7" s="1"/>
      <c r="V7" s="121"/>
      <c r="W7" s="121"/>
    </row>
    <row r="8" spans="3:23" ht="12.75">
      <c r="C8" s="243"/>
      <c r="H8" s="5"/>
      <c r="I8" s="5"/>
      <c r="J8" s="5"/>
      <c r="K8" s="166"/>
      <c r="L8" s="166"/>
      <c r="M8" s="1"/>
      <c r="N8" s="121"/>
      <c r="O8" s="1"/>
      <c r="P8" s="121"/>
      <c r="Q8" s="1"/>
      <c r="R8" s="121"/>
      <c r="S8" s="1"/>
      <c r="T8" s="121"/>
      <c r="U8" s="1"/>
      <c r="V8" s="121"/>
      <c r="W8" s="121"/>
    </row>
    <row r="9" spans="3:27" ht="13.5" customHeight="1">
      <c r="C9" s="171" t="s">
        <v>253</v>
      </c>
      <c r="H9" s="213">
        <f>'Financial Highlights'!E18</f>
        <v>656</v>
      </c>
      <c r="I9" s="213">
        <v>649</v>
      </c>
      <c r="J9" s="213">
        <v>701</v>
      </c>
      <c r="K9" s="213">
        <v>665</v>
      </c>
      <c r="L9" s="213">
        <v>578</v>
      </c>
      <c r="M9" s="33"/>
      <c r="N9" s="213">
        <f>+J9+I9+H9</f>
        <v>2006</v>
      </c>
      <c r="O9" s="33"/>
      <c r="P9" s="213">
        <v>1640</v>
      </c>
      <c r="Q9" s="33"/>
      <c r="R9" s="213">
        <v>2305</v>
      </c>
      <c r="S9" s="33"/>
      <c r="T9" s="213"/>
      <c r="U9" s="33"/>
      <c r="V9" s="213"/>
      <c r="W9" s="213"/>
      <c r="X9" s="145"/>
      <c r="Y9" s="145"/>
      <c r="Z9" s="145"/>
      <c r="AA9" s="145"/>
    </row>
    <row r="10" spans="3:27" ht="12" customHeight="1">
      <c r="C10" s="94" t="s">
        <v>229</v>
      </c>
      <c r="H10" s="265"/>
      <c r="I10" s="265"/>
      <c r="J10" s="265"/>
      <c r="K10" s="265"/>
      <c r="L10" s="265"/>
      <c r="M10" s="42"/>
      <c r="N10" s="354"/>
      <c r="O10" s="42"/>
      <c r="P10" s="354"/>
      <c r="Q10" s="42"/>
      <c r="R10" s="354"/>
      <c r="S10" s="42"/>
      <c r="T10" s="265"/>
      <c r="U10" s="42"/>
      <c r="V10" s="265"/>
      <c r="W10" s="265"/>
      <c r="X10" s="145"/>
      <c r="Y10" s="145"/>
      <c r="Z10" s="145"/>
      <c r="AA10" s="145"/>
    </row>
    <row r="11" spans="3:27" ht="13.5" customHeight="1">
      <c r="C11" s="94" t="s">
        <v>41</v>
      </c>
      <c r="H11" s="349">
        <v>218</v>
      </c>
      <c r="I11" s="349">
        <v>-427</v>
      </c>
      <c r="J11" s="349">
        <v>73</v>
      </c>
      <c r="K11" s="349">
        <v>132</v>
      </c>
      <c r="L11" s="356">
        <v>541</v>
      </c>
      <c r="M11" s="42"/>
      <c r="N11" s="376">
        <f>+J11+I11+H11</f>
        <v>-136</v>
      </c>
      <c r="O11" s="42"/>
      <c r="P11" s="376">
        <v>157</v>
      </c>
      <c r="Q11" s="42"/>
      <c r="R11" s="376">
        <v>289</v>
      </c>
      <c r="S11" s="42"/>
      <c r="T11" s="356"/>
      <c r="U11" s="42"/>
      <c r="V11" s="356"/>
      <c r="W11" s="356"/>
      <c r="X11" s="145"/>
      <c r="Y11" s="145"/>
      <c r="Z11" s="145"/>
      <c r="AA11" s="145"/>
    </row>
    <row r="12" spans="3:27" ht="13.5" customHeight="1">
      <c r="C12" s="7" t="s">
        <v>233</v>
      </c>
      <c r="E12" s="145"/>
      <c r="F12" s="145"/>
      <c r="G12" s="145"/>
      <c r="H12" s="349"/>
      <c r="I12" s="349"/>
      <c r="J12" s="349"/>
      <c r="K12" s="349"/>
      <c r="L12" s="356"/>
      <c r="M12" s="42"/>
      <c r="N12" s="376"/>
      <c r="O12" s="42"/>
      <c r="P12" s="376"/>
      <c r="Q12" s="42"/>
      <c r="R12" s="376"/>
      <c r="S12" s="42"/>
      <c r="T12" s="356"/>
      <c r="U12" s="42"/>
      <c r="V12" s="356"/>
      <c r="W12" s="356"/>
      <c r="X12" s="145"/>
      <c r="Y12" s="145"/>
      <c r="Z12" s="145"/>
      <c r="AA12" s="145"/>
    </row>
    <row r="13" spans="3:27" ht="13.5" customHeight="1">
      <c r="C13" s="7" t="s">
        <v>46</v>
      </c>
      <c r="E13" s="145"/>
      <c r="F13" s="145"/>
      <c r="G13" s="145"/>
      <c r="H13" s="349">
        <v>6</v>
      </c>
      <c r="I13" s="349">
        <v>12</v>
      </c>
      <c r="J13" s="349">
        <v>3</v>
      </c>
      <c r="K13" s="349">
        <v>-6</v>
      </c>
      <c r="L13" s="356">
        <v>82</v>
      </c>
      <c r="M13" s="42"/>
      <c r="N13" s="376">
        <f>+J13+I13+H13</f>
        <v>21</v>
      </c>
      <c r="O13" s="42"/>
      <c r="P13" s="376">
        <v>70</v>
      </c>
      <c r="Q13" s="42"/>
      <c r="R13" s="376">
        <v>64</v>
      </c>
      <c r="S13" s="42"/>
      <c r="T13" s="356"/>
      <c r="U13" s="42"/>
      <c r="V13" s="356"/>
      <c r="W13" s="356"/>
      <c r="X13" s="145"/>
      <c r="Y13" s="145"/>
      <c r="Z13" s="145"/>
      <c r="AA13" s="145"/>
    </row>
    <row r="14" spans="3:27" ht="13.5" customHeight="1">
      <c r="C14" s="7" t="s">
        <v>410</v>
      </c>
      <c r="E14" s="145"/>
      <c r="F14" s="145"/>
      <c r="G14" s="145"/>
      <c r="H14" s="349">
        <v>58</v>
      </c>
      <c r="I14" s="349">
        <v>19</v>
      </c>
      <c r="J14" s="349">
        <v>16</v>
      </c>
      <c r="K14" s="349">
        <v>46</v>
      </c>
      <c r="L14" s="356">
        <v>15</v>
      </c>
      <c r="M14" s="42"/>
      <c r="N14" s="376">
        <f>+J14+I14+H14</f>
        <v>93</v>
      </c>
      <c r="O14" s="42"/>
      <c r="P14" s="376">
        <v>89</v>
      </c>
      <c r="Q14" s="42"/>
      <c r="R14" s="376">
        <v>135</v>
      </c>
      <c r="S14" s="42"/>
      <c r="T14" s="356"/>
      <c r="U14" s="42"/>
      <c r="V14" s="356"/>
      <c r="W14" s="356"/>
      <c r="X14" s="145"/>
      <c r="Y14" s="145"/>
      <c r="Z14" s="145"/>
      <c r="AA14" s="145"/>
    </row>
    <row r="15" spans="3:27" ht="13.5" customHeight="1">
      <c r="C15" s="7" t="s">
        <v>411</v>
      </c>
      <c r="E15" s="145"/>
      <c r="F15" s="145"/>
      <c r="G15" s="145"/>
      <c r="H15" s="349">
        <v>-1</v>
      </c>
      <c r="I15" s="349">
        <v>-2</v>
      </c>
      <c r="J15" s="349">
        <v>0</v>
      </c>
      <c r="K15" s="349">
        <v>29</v>
      </c>
      <c r="L15" s="356">
        <v>-5</v>
      </c>
      <c r="M15" s="42"/>
      <c r="N15" s="376">
        <f>+J15+I15+H15</f>
        <v>-3</v>
      </c>
      <c r="O15" s="42"/>
      <c r="P15" s="376">
        <v>-9</v>
      </c>
      <c r="Q15" s="42"/>
      <c r="R15" s="376">
        <v>20</v>
      </c>
      <c r="S15" s="42"/>
      <c r="T15" s="356"/>
      <c r="U15" s="42"/>
      <c r="V15" s="356"/>
      <c r="W15" s="356"/>
      <c r="X15" s="145"/>
      <c r="Y15" s="145"/>
      <c r="Z15" s="145"/>
      <c r="AA15" s="145"/>
    </row>
    <row r="16" spans="3:27" ht="13.5" customHeight="1">
      <c r="C16" s="7" t="s">
        <v>133</v>
      </c>
      <c r="E16" s="145"/>
      <c r="F16" s="145"/>
      <c r="G16" s="145"/>
      <c r="H16" s="349"/>
      <c r="I16" s="349"/>
      <c r="J16" s="349"/>
      <c r="K16" s="349"/>
      <c r="L16" s="356"/>
      <c r="M16" s="42"/>
      <c r="N16" s="376"/>
      <c r="O16" s="42"/>
      <c r="P16" s="376"/>
      <c r="Q16" s="42"/>
      <c r="R16" s="376"/>
      <c r="S16" s="42"/>
      <c r="T16" s="356"/>
      <c r="U16" s="42"/>
      <c r="V16" s="356"/>
      <c r="W16" s="356"/>
      <c r="X16" s="145"/>
      <c r="Y16" s="145"/>
      <c r="Z16" s="145"/>
      <c r="AA16" s="145"/>
    </row>
    <row r="17" spans="3:27" ht="13.5" customHeight="1">
      <c r="C17" s="7" t="s">
        <v>134</v>
      </c>
      <c r="E17" s="145"/>
      <c r="F17" s="145"/>
      <c r="G17" s="145"/>
      <c r="H17" s="349">
        <f>-18-10</f>
        <v>-28</v>
      </c>
      <c r="I17" s="349">
        <v>23</v>
      </c>
      <c r="J17" s="349">
        <v>-18</v>
      </c>
      <c r="K17" s="349">
        <v>-42</v>
      </c>
      <c r="L17" s="356">
        <v>-117</v>
      </c>
      <c r="M17" s="398"/>
      <c r="N17" s="376">
        <f>+J17+I17+H17</f>
        <v>-23</v>
      </c>
      <c r="O17" s="398"/>
      <c r="P17" s="376">
        <v>-71</v>
      </c>
      <c r="Q17" s="398"/>
      <c r="R17" s="376">
        <v>-113</v>
      </c>
      <c r="S17" s="42"/>
      <c r="T17" s="356"/>
      <c r="U17" s="42"/>
      <c r="V17" s="356"/>
      <c r="W17" s="356"/>
      <c r="X17" s="145"/>
      <c r="Y17" s="145"/>
      <c r="Z17" s="145"/>
      <c r="AA17" s="145"/>
    </row>
    <row r="18" spans="3:27" ht="13.5" customHeight="1">
      <c r="C18" s="7" t="s">
        <v>67</v>
      </c>
      <c r="E18" s="145"/>
      <c r="F18" s="145"/>
      <c r="G18" s="145"/>
      <c r="H18" s="272">
        <f>SUM(H11:H17)</f>
        <v>253</v>
      </c>
      <c r="I18" s="272">
        <f>SUM(I11:I17)</f>
        <v>-375</v>
      </c>
      <c r="J18" s="272">
        <f>SUM(J11:J17)</f>
        <v>74</v>
      </c>
      <c r="K18" s="272">
        <f>SUM(K11:K17)</f>
        <v>159</v>
      </c>
      <c r="L18" s="272">
        <f>SUM(L11:L17)</f>
        <v>516</v>
      </c>
      <c r="M18" s="42"/>
      <c r="N18" s="272">
        <f>SUM(N11:N17)</f>
        <v>-48</v>
      </c>
      <c r="O18" s="42"/>
      <c r="P18" s="272">
        <f>SUM(P11:P17)</f>
        <v>236</v>
      </c>
      <c r="Q18" s="42"/>
      <c r="R18" s="272">
        <f>SUM(R11:R17)</f>
        <v>395</v>
      </c>
      <c r="S18" s="42"/>
      <c r="T18" s="459"/>
      <c r="U18" s="42"/>
      <c r="V18" s="459"/>
      <c r="W18" s="459"/>
      <c r="X18" s="145"/>
      <c r="Y18" s="145"/>
      <c r="Z18" s="145"/>
      <c r="AA18" s="145"/>
    </row>
    <row r="19" spans="3:27" ht="13.5" customHeight="1" thickBot="1">
      <c r="C19" s="224" t="s">
        <v>3</v>
      </c>
      <c r="E19" s="145"/>
      <c r="F19" s="145"/>
      <c r="G19" s="145"/>
      <c r="H19" s="193">
        <f>SUM(H9:H17)</f>
        <v>909</v>
      </c>
      <c r="I19" s="193">
        <f>SUM(I9:I17)</f>
        <v>274</v>
      </c>
      <c r="J19" s="193">
        <f>SUM(J9:J17)</f>
        <v>775</v>
      </c>
      <c r="K19" s="193">
        <f>SUM(K9:K17)</f>
        <v>824</v>
      </c>
      <c r="L19" s="193">
        <f>SUM(L9:L17)</f>
        <v>1094</v>
      </c>
      <c r="M19" s="599"/>
      <c r="N19" s="193">
        <f>SUM(N9:N17)</f>
        <v>1958</v>
      </c>
      <c r="O19" s="599"/>
      <c r="P19" s="193">
        <f>SUM(P9:P17)</f>
        <v>1876</v>
      </c>
      <c r="Q19" s="599"/>
      <c r="R19" s="193">
        <f>SUM(R9:R17)</f>
        <v>2700</v>
      </c>
      <c r="S19" s="33"/>
      <c r="T19" s="213"/>
      <c r="U19" s="33"/>
      <c r="V19" s="213"/>
      <c r="W19" s="213"/>
      <c r="X19" s="145"/>
      <c r="Y19" s="145"/>
      <c r="Z19" s="145"/>
      <c r="AA19" s="145"/>
    </row>
    <row r="20" spans="5:23" ht="13.5" thickTop="1">
      <c r="E20" s="145"/>
      <c r="F20" s="145"/>
      <c r="G20" s="145"/>
      <c r="H20" s="145"/>
      <c r="I20" s="145"/>
      <c r="T20" s="460"/>
      <c r="V20" s="460"/>
      <c r="W20" s="460"/>
    </row>
    <row r="21" spans="5:16" ht="12.75">
      <c r="E21" s="145"/>
      <c r="F21" s="145"/>
      <c r="G21" s="145"/>
      <c r="H21" s="145"/>
      <c r="I21" s="145"/>
      <c r="P21" s="460"/>
    </row>
    <row r="22" spans="5:9" ht="12.75">
      <c r="E22" s="145"/>
      <c r="F22" s="145"/>
      <c r="G22" s="145"/>
      <c r="H22" s="382"/>
      <c r="I22" s="382"/>
    </row>
    <row r="23" spans="5:9" ht="12.75">
      <c r="E23" s="145"/>
      <c r="F23" s="145"/>
      <c r="G23" s="145"/>
      <c r="H23" s="145"/>
      <c r="I23" s="145"/>
    </row>
    <row r="24" spans="5:9" ht="12.75">
      <c r="E24" s="145"/>
      <c r="F24" s="145"/>
      <c r="G24" s="145"/>
      <c r="H24" s="145"/>
      <c r="I24" s="145"/>
    </row>
  </sheetData>
  <mergeCells count="5">
    <mergeCell ref="A1:P1"/>
    <mergeCell ref="C6:E6"/>
    <mergeCell ref="A4:P4"/>
    <mergeCell ref="A3:P3"/>
    <mergeCell ref="A2:P2"/>
  </mergeCells>
  <printOptions/>
  <pageMargins left="0.5" right="0.5" top="0.5" bottom="0.55" header="0.75" footer="0.3"/>
  <pageSetup horizontalDpi="600" verticalDpi="600" orientation="landscape" r:id="rId2"/>
  <headerFooter alignWithMargins="0">
    <oddFooter>&amp;L&amp;A&amp;R&amp;"Arial,Regular"&amp;8Page 23</oddFooter>
  </headerFooter>
  <drawing r:id="rId1"/>
</worksheet>
</file>

<file path=xl/worksheets/sheet26.xml><?xml version="1.0" encoding="utf-8"?>
<worksheet xmlns="http://schemas.openxmlformats.org/spreadsheetml/2006/main" xmlns:r="http://schemas.openxmlformats.org/officeDocument/2006/relationships">
  <sheetPr codeName="Sheet36"/>
  <dimension ref="A1:P45"/>
  <sheetViews>
    <sheetView workbookViewId="0" topLeftCell="A1">
      <selection activeCell="A1" sqref="A1:G1"/>
    </sheetView>
  </sheetViews>
  <sheetFormatPr defaultColWidth="9.33203125" defaultRowHeight="12.75"/>
  <cols>
    <col min="1" max="1" width="2.83203125" style="1" customWidth="1"/>
    <col min="2" max="2" width="54.83203125" style="1" customWidth="1"/>
    <col min="3" max="3" width="16.83203125" style="1" customWidth="1"/>
    <col min="4" max="4" width="10.16015625" style="1" customWidth="1"/>
    <col min="5" max="5" width="16.66015625" style="1" customWidth="1"/>
    <col min="6" max="6" width="16.83203125" style="1" customWidth="1"/>
    <col min="7" max="7" width="24.33203125" style="1" customWidth="1"/>
    <col min="8" max="8" width="5.33203125" style="1" customWidth="1"/>
    <col min="9" max="16384" width="8.16015625" style="1" customWidth="1"/>
  </cols>
  <sheetData>
    <row r="1" spans="1:16" ht="12.75">
      <c r="A1" s="626" t="s">
        <v>89</v>
      </c>
      <c r="B1" s="626"/>
      <c r="C1" s="626"/>
      <c r="D1" s="626"/>
      <c r="E1" s="626"/>
      <c r="F1" s="626"/>
      <c r="G1" s="626"/>
      <c r="H1" s="341"/>
      <c r="I1" s="341"/>
      <c r="J1" s="341"/>
      <c r="K1" s="341"/>
      <c r="L1" s="341"/>
      <c r="M1" s="341"/>
      <c r="N1" s="341"/>
      <c r="O1" s="23"/>
      <c r="P1" s="23"/>
    </row>
    <row r="2" spans="1:16" ht="12">
      <c r="A2" s="627" t="s">
        <v>201</v>
      </c>
      <c r="B2" s="627"/>
      <c r="C2" s="627"/>
      <c r="D2" s="627"/>
      <c r="E2" s="627"/>
      <c r="F2" s="627"/>
      <c r="G2" s="627"/>
      <c r="H2" s="627"/>
      <c r="I2" s="627"/>
      <c r="J2" s="627"/>
      <c r="K2" s="627"/>
      <c r="L2" s="627"/>
      <c r="M2" s="627"/>
      <c r="N2" s="627"/>
      <c r="O2" s="23"/>
      <c r="P2" s="23"/>
    </row>
    <row r="3" spans="1:16" ht="12">
      <c r="A3" s="657"/>
      <c r="B3" s="657"/>
      <c r="C3" s="657"/>
      <c r="D3" s="657"/>
      <c r="E3" s="657"/>
      <c r="F3" s="657"/>
      <c r="G3" s="657"/>
      <c r="H3" s="657"/>
      <c r="I3" s="657"/>
      <c r="J3" s="657"/>
      <c r="K3" s="657"/>
      <c r="L3" s="657"/>
      <c r="M3" s="657"/>
      <c r="N3" s="657"/>
      <c r="O3" s="23"/>
      <c r="P3" s="23"/>
    </row>
    <row r="4" spans="1:16" ht="12">
      <c r="A4" s="657"/>
      <c r="B4" s="657"/>
      <c r="C4" s="657"/>
      <c r="D4" s="657"/>
      <c r="E4" s="657"/>
      <c r="F4" s="657"/>
      <c r="G4" s="657"/>
      <c r="H4" s="657"/>
      <c r="I4" s="657"/>
      <c r="J4" s="657"/>
      <c r="K4" s="657"/>
      <c r="L4" s="657"/>
      <c r="M4" s="657"/>
      <c r="N4" s="657"/>
      <c r="O4" s="23"/>
      <c r="P4" s="23"/>
    </row>
    <row r="5" spans="2:4" ht="12">
      <c r="B5" s="661"/>
      <c r="C5" s="661"/>
      <c r="D5" s="661"/>
    </row>
    <row r="6" spans="2:15" ht="11.25">
      <c r="B6" s="14"/>
      <c r="M6" s="23"/>
      <c r="N6" s="657"/>
      <c r="O6" s="657"/>
    </row>
    <row r="7" ht="7.5" customHeight="1">
      <c r="P7" s="7"/>
    </row>
    <row r="8" spans="1:16" ht="23.25" customHeight="1">
      <c r="A8" s="91"/>
      <c r="B8" s="663" t="s">
        <v>407</v>
      </c>
      <c r="C8" s="664"/>
      <c r="D8" s="664"/>
      <c r="E8" s="664"/>
      <c r="F8" s="664"/>
      <c r="G8" s="664"/>
      <c r="H8" s="157"/>
      <c r="P8" s="7"/>
    </row>
    <row r="9" spans="1:16" ht="7.5" customHeight="1">
      <c r="A9" s="91"/>
      <c r="B9" s="72"/>
      <c r="C9" s="97"/>
      <c r="D9" s="96"/>
      <c r="E9" s="96"/>
      <c r="F9" s="96"/>
      <c r="G9" s="95"/>
      <c r="P9" s="7"/>
    </row>
    <row r="10" spans="1:16" ht="13.5" customHeight="1">
      <c r="A10" s="91"/>
      <c r="B10" s="663" t="s">
        <v>309</v>
      </c>
      <c r="C10" s="664"/>
      <c r="D10" s="664"/>
      <c r="E10" s="664"/>
      <c r="F10" s="664"/>
      <c r="G10" s="664"/>
      <c r="P10" s="7"/>
    </row>
    <row r="11" spans="1:16" ht="7.5" customHeight="1">
      <c r="A11" s="91"/>
      <c r="B11" s="72"/>
      <c r="C11" s="97"/>
      <c r="D11" s="96"/>
      <c r="E11" s="96"/>
      <c r="F11" s="96"/>
      <c r="G11" s="95"/>
      <c r="P11" s="7"/>
    </row>
    <row r="12" spans="1:16" ht="12.75">
      <c r="A12" s="91"/>
      <c r="B12" s="663" t="s">
        <v>409</v>
      </c>
      <c r="C12" s="664"/>
      <c r="D12" s="664"/>
      <c r="E12" s="664"/>
      <c r="F12" s="664"/>
      <c r="G12" s="664"/>
      <c r="P12" s="7"/>
    </row>
    <row r="13" spans="1:16" ht="7.5" customHeight="1">
      <c r="A13" s="91"/>
      <c r="B13" s="72"/>
      <c r="C13" s="97"/>
      <c r="D13" s="96"/>
      <c r="E13" s="96"/>
      <c r="F13" s="96"/>
      <c r="G13" s="95"/>
      <c r="P13" s="7"/>
    </row>
    <row r="14" spans="1:16" ht="12.75">
      <c r="A14" s="91"/>
      <c r="B14" s="663" t="s">
        <v>412</v>
      </c>
      <c r="C14" s="664"/>
      <c r="D14" s="664"/>
      <c r="E14" s="664"/>
      <c r="F14" s="664"/>
      <c r="G14" s="664"/>
      <c r="P14" s="7"/>
    </row>
    <row r="15" spans="1:16" ht="7.5" customHeight="1">
      <c r="A15" s="91"/>
      <c r="B15" s="72"/>
      <c r="C15" s="97"/>
      <c r="D15" s="96"/>
      <c r="E15" s="96"/>
      <c r="F15" s="96"/>
      <c r="G15" s="95"/>
      <c r="P15" s="7"/>
    </row>
    <row r="16" spans="1:16" ht="12.75" customHeight="1">
      <c r="A16" s="91"/>
      <c r="B16" s="663" t="s">
        <v>408</v>
      </c>
      <c r="C16" s="664"/>
      <c r="D16" s="664"/>
      <c r="E16" s="664"/>
      <c r="F16" s="664"/>
      <c r="G16" s="664"/>
      <c r="P16" s="7"/>
    </row>
    <row r="17" spans="1:16" ht="7.5" customHeight="1">
      <c r="A17" s="91"/>
      <c r="B17" s="72"/>
      <c r="C17" s="97"/>
      <c r="D17" s="96"/>
      <c r="E17" s="96"/>
      <c r="F17" s="96"/>
      <c r="G17" s="95"/>
      <c r="P17" s="7"/>
    </row>
    <row r="18" spans="1:16" ht="12.75" customHeight="1">
      <c r="A18" s="91"/>
      <c r="B18" s="663" t="s">
        <v>22</v>
      </c>
      <c r="C18" s="664"/>
      <c r="D18" s="664"/>
      <c r="E18" s="664"/>
      <c r="F18" s="664"/>
      <c r="G18" s="664"/>
      <c r="P18" s="7"/>
    </row>
    <row r="19" spans="1:16" ht="7.5" customHeight="1">
      <c r="A19" s="91"/>
      <c r="B19" s="72"/>
      <c r="C19" s="97"/>
      <c r="D19" s="96"/>
      <c r="E19" s="96"/>
      <c r="F19" s="96"/>
      <c r="G19" s="95"/>
      <c r="P19" s="7"/>
    </row>
    <row r="20" spans="1:16" ht="13.5" customHeight="1">
      <c r="A20" s="91"/>
      <c r="B20" s="663" t="s">
        <v>23</v>
      </c>
      <c r="C20" s="664"/>
      <c r="D20" s="664"/>
      <c r="E20" s="664"/>
      <c r="F20" s="664"/>
      <c r="G20" s="664"/>
      <c r="H20" s="664"/>
      <c r="P20" s="7"/>
    </row>
    <row r="21" spans="1:16" ht="7.5" customHeight="1">
      <c r="A21" s="91"/>
      <c r="B21" s="72"/>
      <c r="C21" s="97"/>
      <c r="D21" s="96"/>
      <c r="E21" s="96"/>
      <c r="F21" s="96"/>
      <c r="G21" s="95"/>
      <c r="P21" s="7"/>
    </row>
    <row r="22" spans="1:16" ht="12.75" customHeight="1">
      <c r="A22" s="91"/>
      <c r="B22" s="534" t="s">
        <v>24</v>
      </c>
      <c r="C22" s="96"/>
      <c r="D22" s="96"/>
      <c r="E22" s="96"/>
      <c r="F22" s="96"/>
      <c r="G22" s="96"/>
      <c r="P22" s="7"/>
    </row>
    <row r="23" spans="1:7" ht="7.5" customHeight="1">
      <c r="A23" s="91"/>
      <c r="B23" s="65"/>
      <c r="C23" s="96"/>
      <c r="D23" s="96"/>
      <c r="E23" s="96"/>
      <c r="F23" s="96"/>
      <c r="G23" s="96"/>
    </row>
    <row r="24" spans="1:7" ht="12.75" customHeight="1">
      <c r="A24" s="91"/>
      <c r="B24" s="663" t="s">
        <v>25</v>
      </c>
      <c r="C24" s="664"/>
      <c r="D24" s="664"/>
      <c r="E24" s="664"/>
      <c r="F24" s="664"/>
      <c r="G24" s="664"/>
    </row>
    <row r="25" spans="1:14" ht="7.5" customHeight="1">
      <c r="A25" s="91"/>
      <c r="B25" s="72"/>
      <c r="C25" s="97"/>
      <c r="D25" s="96"/>
      <c r="E25" s="96"/>
      <c r="F25" s="96"/>
      <c r="G25" s="95"/>
      <c r="L25" s="657"/>
      <c r="M25" s="657"/>
      <c r="N25" s="657"/>
    </row>
    <row r="26" spans="2:8" ht="13.5" customHeight="1">
      <c r="B26" s="663" t="s">
        <v>362</v>
      </c>
      <c r="C26" s="664"/>
      <c r="D26" s="664"/>
      <c r="E26" s="664"/>
      <c r="F26" s="664"/>
      <c r="G26" s="664"/>
      <c r="H26" s="23"/>
    </row>
    <row r="27" spans="1:7" ht="7.5" customHeight="1">
      <c r="A27" s="91"/>
      <c r="B27" s="72"/>
      <c r="C27" s="97"/>
      <c r="D27" s="96"/>
      <c r="E27" s="96"/>
      <c r="F27" s="96"/>
      <c r="G27" s="95"/>
    </row>
    <row r="28" spans="1:16" ht="13.5" customHeight="1">
      <c r="A28" s="91"/>
      <c r="B28" s="663" t="s">
        <v>308</v>
      </c>
      <c r="C28" s="664"/>
      <c r="D28" s="664"/>
      <c r="E28" s="664"/>
      <c r="F28" s="664"/>
      <c r="G28" s="664"/>
      <c r="P28" s="7"/>
    </row>
    <row r="29" spans="1:16" ht="7.5" customHeight="1">
      <c r="A29" s="91"/>
      <c r="B29" s="72"/>
      <c r="C29" s="97"/>
      <c r="D29" s="96"/>
      <c r="E29" s="96"/>
      <c r="F29" s="96"/>
      <c r="G29" s="95"/>
      <c r="P29" s="7"/>
    </row>
    <row r="30" spans="1:8" s="98" customFormat="1" ht="12.75" customHeight="1">
      <c r="A30" s="91"/>
      <c r="B30" s="533" t="s">
        <v>26</v>
      </c>
      <c r="C30" s="666"/>
      <c r="D30" s="666"/>
      <c r="E30" s="666"/>
      <c r="F30" s="666"/>
      <c r="G30" s="666"/>
      <c r="H30" s="1"/>
    </row>
    <row r="31" spans="1:8" s="98" customFormat="1" ht="7.5" customHeight="1">
      <c r="A31" s="91"/>
      <c r="B31" s="72"/>
      <c r="C31" s="97"/>
      <c r="D31" s="96"/>
      <c r="E31" s="96"/>
      <c r="F31" s="96"/>
      <c r="G31" s="95"/>
      <c r="H31" s="1"/>
    </row>
    <row r="32" spans="2:7" ht="12.75">
      <c r="B32" s="663" t="s">
        <v>266</v>
      </c>
      <c r="C32" s="664"/>
      <c r="D32" s="664"/>
      <c r="E32" s="664"/>
      <c r="F32" s="664"/>
      <c r="G32" s="664"/>
    </row>
    <row r="33" spans="2:7" ht="7.5" customHeight="1">
      <c r="B33" s="72"/>
      <c r="C33" s="97"/>
      <c r="D33" s="96"/>
      <c r="E33" s="96"/>
      <c r="F33" s="96"/>
      <c r="G33" s="95"/>
    </row>
    <row r="34" spans="2:6" ht="11.25">
      <c r="B34" s="14" t="s">
        <v>427</v>
      </c>
      <c r="C34" s="93"/>
      <c r="D34" s="7"/>
      <c r="E34" s="7"/>
      <c r="F34" s="7"/>
    </row>
    <row r="35" spans="2:6" ht="12.75" customHeight="1">
      <c r="B35" s="72"/>
      <c r="C35" s="93"/>
      <c r="D35" s="7"/>
      <c r="E35" s="7"/>
      <c r="F35" s="7"/>
    </row>
    <row r="36" spans="2:8" ht="12.75" customHeight="1">
      <c r="B36" s="665"/>
      <c r="C36" s="642"/>
      <c r="D36" s="642"/>
      <c r="E36" s="642"/>
      <c r="F36" s="642"/>
      <c r="G36" s="642"/>
      <c r="H36" s="7"/>
    </row>
    <row r="37" spans="2:8" ht="12.75" customHeight="1">
      <c r="B37" s="550"/>
      <c r="C37" s="7"/>
      <c r="D37" s="7"/>
      <c r="E37" s="7"/>
      <c r="F37" s="7"/>
      <c r="G37" s="7"/>
      <c r="H37" s="7"/>
    </row>
    <row r="38" spans="2:8" ht="12.75" customHeight="1">
      <c r="B38"/>
      <c r="C38" s="7"/>
      <c r="D38" s="7"/>
      <c r="E38" s="7"/>
      <c r="F38" s="7"/>
      <c r="G38" s="7"/>
      <c r="H38" s="7"/>
    </row>
    <row r="39" spans="2:8" ht="12.75" customHeight="1">
      <c r="B39" s="550"/>
      <c r="C39" s="7"/>
      <c r="D39" s="7"/>
      <c r="E39" s="7"/>
      <c r="F39" s="7"/>
      <c r="G39" s="7"/>
      <c r="H39" s="7"/>
    </row>
    <row r="40" spans="2:8" ht="12.75" customHeight="1">
      <c r="B40"/>
      <c r="C40" s="7"/>
      <c r="D40" s="7"/>
      <c r="E40" s="7"/>
      <c r="F40" s="7"/>
      <c r="G40" s="7"/>
      <c r="H40" s="7"/>
    </row>
    <row r="41" spans="1:8" ht="12.75" customHeight="1">
      <c r="A41" s="95"/>
      <c r="B41" s="7"/>
      <c r="C41" s="7"/>
      <c r="D41" s="7"/>
      <c r="E41" s="7"/>
      <c r="F41" s="7"/>
      <c r="G41" s="7"/>
      <c r="H41" s="7"/>
    </row>
    <row r="42" spans="1:8" ht="12.75" customHeight="1">
      <c r="A42" s="95"/>
      <c r="B42" s="7"/>
      <c r="C42" s="7"/>
      <c r="D42" s="7"/>
      <c r="E42" s="7"/>
      <c r="F42" s="7"/>
      <c r="G42" s="7"/>
      <c r="H42" s="7"/>
    </row>
    <row r="43" spans="1:8" ht="12.75" customHeight="1">
      <c r="A43" s="95"/>
      <c r="B43" s="75"/>
      <c r="C43" s="96"/>
      <c r="D43" s="96"/>
      <c r="E43" s="96"/>
      <c r="F43" s="96"/>
      <c r="G43" s="96"/>
      <c r="H43" s="96"/>
    </row>
    <row r="44" spans="2:8" ht="12.75" customHeight="1">
      <c r="B44" s="7"/>
      <c r="C44" s="7"/>
      <c r="D44" s="7"/>
      <c r="E44" s="7"/>
      <c r="F44" s="7"/>
      <c r="G44" s="7"/>
      <c r="H44" s="7"/>
    </row>
    <row r="45" ht="12.75" customHeight="1">
      <c r="A45" s="95"/>
    </row>
    <row r="46" ht="12.75" customHeight="1"/>
    <row r="47" ht="12.75" customHeight="1"/>
    <row r="48" ht="12.75" customHeight="1"/>
    <row r="49" ht="12.75" customHeight="1"/>
    <row r="50" ht="12.75" customHeight="1"/>
    <row r="51" ht="12.75" customHeight="1"/>
    <row r="52" ht="12.75" customHeight="1"/>
    <row r="53" ht="12.75" customHeight="1"/>
    <row r="54" ht="12.75" customHeight="1"/>
  </sheetData>
  <mergeCells count="21">
    <mergeCell ref="A1:G1"/>
    <mergeCell ref="A2:G2"/>
    <mergeCell ref="B8:G8"/>
    <mergeCell ref="B12:G12"/>
    <mergeCell ref="B5:D5"/>
    <mergeCell ref="A3:N3"/>
    <mergeCell ref="A4:N4"/>
    <mergeCell ref="H2:N2"/>
    <mergeCell ref="B36:G36"/>
    <mergeCell ref="B26:G26"/>
    <mergeCell ref="B20:H20"/>
    <mergeCell ref="B24:G24"/>
    <mergeCell ref="B32:G32"/>
    <mergeCell ref="C30:G30"/>
    <mergeCell ref="B28:G28"/>
    <mergeCell ref="L25:N25"/>
    <mergeCell ref="N6:O6"/>
    <mergeCell ref="B10:G10"/>
    <mergeCell ref="B14:G14"/>
    <mergeCell ref="B16:G16"/>
    <mergeCell ref="B18:G18"/>
  </mergeCells>
  <printOptions/>
  <pageMargins left="0.5" right="0.5" top="0.5" bottom="0.55" header="0.75" footer="0.3"/>
  <pageSetup horizontalDpi="600" verticalDpi="600" orientation="landscape" r:id="rId2"/>
  <headerFooter alignWithMargins="0">
    <oddFooter>&amp;L&amp;A&amp;R&amp;"Arial,Regular"&amp;8Page 24</oddFooter>
  </headerFooter>
  <drawing r:id="rId1"/>
</worksheet>
</file>

<file path=xl/worksheets/sheet3.xml><?xml version="1.0" encoding="utf-8"?>
<worksheet xmlns="http://schemas.openxmlformats.org/spreadsheetml/2006/main" xmlns:r="http://schemas.openxmlformats.org/officeDocument/2006/relationships">
  <sheetPr codeName="Sheet3">
    <pageSetUpPr fitToPage="1"/>
  </sheetPr>
  <dimension ref="B1:V112"/>
  <sheetViews>
    <sheetView workbookViewId="0" topLeftCell="A1">
      <selection activeCell="A1" sqref="A1"/>
    </sheetView>
  </sheetViews>
  <sheetFormatPr defaultColWidth="9.33203125" defaultRowHeight="12.75"/>
  <cols>
    <col min="1" max="1" width="3.33203125" style="1" customWidth="1"/>
    <col min="2" max="2" width="2.83203125" style="1" customWidth="1"/>
    <col min="3" max="3" width="56.5" style="1" customWidth="1"/>
    <col min="4" max="4" width="4.33203125" style="1" customWidth="1"/>
    <col min="5" max="5" width="9.83203125" style="1" customWidth="1"/>
    <col min="6" max="6" width="3.83203125" style="1" customWidth="1"/>
    <col min="7" max="7" width="9.83203125" style="1" customWidth="1"/>
    <col min="8" max="8" width="3.16015625" style="1" customWidth="1"/>
    <col min="9" max="9" width="8.83203125" style="1" customWidth="1"/>
    <col min="10" max="10" width="2.16015625" style="1" customWidth="1"/>
    <col min="11" max="11" width="2.83203125" style="1" customWidth="1"/>
    <col min="12" max="12" width="9.83203125" style="1" customWidth="1"/>
    <col min="13" max="13" width="3.83203125" style="1" customWidth="1"/>
    <col min="14" max="14" width="9.83203125" style="1" customWidth="1"/>
    <col min="15" max="15" width="3.16015625" style="1" customWidth="1"/>
    <col min="16" max="16" width="9.5" style="1" customWidth="1"/>
    <col min="17" max="16384" width="8.16015625" style="1" customWidth="1"/>
  </cols>
  <sheetData>
    <row r="1" spans="3:22" ht="12.75">
      <c r="C1" s="626" t="s">
        <v>89</v>
      </c>
      <c r="D1" s="626"/>
      <c r="E1" s="626"/>
      <c r="F1" s="626"/>
      <c r="G1" s="626"/>
      <c r="H1" s="626"/>
      <c r="I1" s="626"/>
      <c r="J1" s="626"/>
      <c r="K1" s="626"/>
      <c r="L1" s="626"/>
      <c r="M1" s="626"/>
      <c r="N1" s="626"/>
      <c r="O1" s="626"/>
      <c r="P1" s="626"/>
      <c r="Q1" s="92"/>
      <c r="R1" s="92"/>
      <c r="S1" s="92"/>
      <c r="T1" s="92"/>
      <c r="U1" s="92"/>
      <c r="V1" s="92"/>
    </row>
    <row r="2" spans="3:16" ht="11.25" customHeight="1">
      <c r="C2" s="627" t="s">
        <v>221</v>
      </c>
      <c r="D2" s="627"/>
      <c r="E2" s="627"/>
      <c r="F2" s="627"/>
      <c r="G2" s="627"/>
      <c r="H2" s="627"/>
      <c r="I2" s="627"/>
      <c r="J2" s="627"/>
      <c r="K2" s="627"/>
      <c r="L2" s="627"/>
      <c r="M2" s="627"/>
      <c r="N2" s="627"/>
      <c r="O2" s="627"/>
      <c r="P2" s="627"/>
    </row>
    <row r="3" spans="3:16" ht="11.25" customHeight="1">
      <c r="C3" s="628" t="s">
        <v>257</v>
      </c>
      <c r="D3" s="628"/>
      <c r="E3" s="628"/>
      <c r="F3" s="628"/>
      <c r="G3" s="628"/>
      <c r="H3" s="628"/>
      <c r="I3" s="628"/>
      <c r="J3" s="628"/>
      <c r="K3" s="628"/>
      <c r="L3" s="628"/>
      <c r="M3" s="628"/>
      <c r="N3" s="628"/>
      <c r="O3" s="628"/>
      <c r="P3" s="628"/>
    </row>
    <row r="4" spans="3:16" ht="11.25" customHeight="1">
      <c r="C4" s="628" t="s">
        <v>163</v>
      </c>
      <c r="D4" s="628"/>
      <c r="E4" s="628"/>
      <c r="F4" s="628"/>
      <c r="G4" s="628"/>
      <c r="H4" s="628"/>
      <c r="I4" s="628"/>
      <c r="J4" s="628"/>
      <c r="K4" s="628"/>
      <c r="L4" s="628"/>
      <c r="M4" s="628"/>
      <c r="N4" s="628"/>
      <c r="O4" s="628"/>
      <c r="P4" s="628"/>
    </row>
    <row r="5" spans="5:16" ht="7.5" customHeight="1">
      <c r="E5"/>
      <c r="F5"/>
      <c r="G5"/>
      <c r="H5"/>
      <c r="I5"/>
      <c r="K5" s="174"/>
      <c r="M5" s="174"/>
      <c r="N5" s="42"/>
      <c r="O5" s="126"/>
      <c r="P5" s="174"/>
    </row>
    <row r="6" spans="3:16" ht="12.75" customHeight="1">
      <c r="C6" s="501"/>
      <c r="E6" s="622"/>
      <c r="F6" s="622"/>
      <c r="G6" s="622"/>
      <c r="I6" s="2" t="s">
        <v>159</v>
      </c>
      <c r="L6" s="622"/>
      <c r="M6" s="622"/>
      <c r="N6" s="622"/>
      <c r="P6" s="2" t="s">
        <v>159</v>
      </c>
    </row>
    <row r="7" spans="4:16" ht="12.75" customHeight="1">
      <c r="D7" s="622" t="s">
        <v>439</v>
      </c>
      <c r="E7" s="623"/>
      <c r="F7" s="623"/>
      <c r="G7" s="623"/>
      <c r="H7" s="623"/>
      <c r="I7" s="2" t="s">
        <v>440</v>
      </c>
      <c r="K7" s="622" t="s">
        <v>452</v>
      </c>
      <c r="L7" s="623"/>
      <c r="M7" s="623"/>
      <c r="N7" s="623"/>
      <c r="O7" s="623"/>
      <c r="P7" s="2" t="s">
        <v>416</v>
      </c>
    </row>
    <row r="8" spans="5:16" ht="11.25">
      <c r="E8" s="165" t="s">
        <v>378</v>
      </c>
      <c r="G8" s="165" t="s">
        <v>320</v>
      </c>
      <c r="I8" s="60" t="s">
        <v>351</v>
      </c>
      <c r="L8" s="165" t="s">
        <v>378</v>
      </c>
      <c r="N8" s="165" t="s">
        <v>320</v>
      </c>
      <c r="P8" s="60" t="s">
        <v>417</v>
      </c>
    </row>
    <row r="9" spans="3:14" ht="11.25">
      <c r="C9" s="14"/>
      <c r="D9" s="14"/>
      <c r="E9" s="166"/>
      <c r="F9" s="67"/>
      <c r="G9" s="166"/>
      <c r="K9" s="14"/>
      <c r="L9" s="166"/>
      <c r="M9" s="67"/>
      <c r="N9" s="166"/>
    </row>
    <row r="10" spans="3:16" ht="11.25" customHeight="1">
      <c r="C10" s="1" t="s">
        <v>124</v>
      </c>
      <c r="E10" s="174">
        <f>+'Segment  2007 Qtr'!Q10</f>
        <v>4463</v>
      </c>
      <c r="G10" s="174">
        <f>+'Segment  2007 Qtr'!Q32</f>
        <v>4297</v>
      </c>
      <c r="I10" s="126">
        <f>(+E10-G10)/G10</f>
        <v>0.03863160344426344</v>
      </c>
      <c r="L10" s="174">
        <f>+'Segment  2007 YTD'!Q10</f>
        <v>13596</v>
      </c>
      <c r="N10" s="174">
        <f>+'Segment  2007 YTD'!Q32</f>
        <v>13391</v>
      </c>
      <c r="P10" s="126">
        <f>(+L10-N10)/N10</f>
        <v>0.01530878948547532</v>
      </c>
    </row>
    <row r="11" spans="5:16" ht="4.5" customHeight="1">
      <c r="E11" s="128"/>
      <c r="G11" s="128"/>
      <c r="I11" s="126"/>
      <c r="L11" s="128"/>
      <c r="N11" s="128"/>
      <c r="P11" s="126"/>
    </row>
    <row r="12" spans="3:16" ht="11.25" customHeight="1">
      <c r="C12" s="77" t="s">
        <v>125</v>
      </c>
      <c r="D12" s="77"/>
      <c r="E12" s="174">
        <f>+'Segment  2007 Qtr'!Q11</f>
        <v>2800</v>
      </c>
      <c r="G12" s="174">
        <f>+'Segment  2007 Qtr'!Q33</f>
        <v>2790</v>
      </c>
      <c r="I12" s="126">
        <f>(+E12-G12)/G12</f>
        <v>0.0035842293906810036</v>
      </c>
      <c r="K12" s="77"/>
      <c r="L12" s="174">
        <f>+'Segment  2007 YTD'!Q11</f>
        <v>9152</v>
      </c>
      <c r="N12" s="174">
        <f>+'Segment  2007 YTD'!Q33</f>
        <v>9166</v>
      </c>
      <c r="P12" s="126">
        <f>(+L12-N12)/N12</f>
        <v>-0.0015273838097316168</v>
      </c>
    </row>
    <row r="13" spans="3:16" ht="4.5" customHeight="1">
      <c r="C13" s="77"/>
      <c r="D13" s="77"/>
      <c r="E13" s="128"/>
      <c r="G13" s="128"/>
      <c r="I13" s="126"/>
      <c r="K13" s="77"/>
      <c r="L13" s="128"/>
      <c r="N13" s="128"/>
      <c r="P13" s="126"/>
    </row>
    <row r="14" spans="3:16" ht="11.25" customHeight="1">
      <c r="C14" s="77" t="s">
        <v>126</v>
      </c>
      <c r="D14" s="77"/>
      <c r="E14" s="174">
        <f>+'Segment  2007 Qtr'!Q12</f>
        <v>3150</v>
      </c>
      <c r="G14" s="174">
        <f>+'Segment  2007 Qtr'!Q34</f>
        <v>3088</v>
      </c>
      <c r="I14" s="126">
        <f>(+E14-G14)/G14</f>
        <v>0.020077720207253884</v>
      </c>
      <c r="K14" s="77"/>
      <c r="L14" s="174">
        <f>+'Segment  2007 YTD'!Q12</f>
        <v>9240</v>
      </c>
      <c r="N14" s="174">
        <f>+'Segment  2007 YTD'!Q34</f>
        <v>8799</v>
      </c>
      <c r="P14" s="126">
        <f>(+L14-N14)/N14</f>
        <v>0.050119331742243436</v>
      </c>
    </row>
    <row r="15" spans="3:14" ht="4.5" customHeight="1">
      <c r="C15" s="77"/>
      <c r="D15" s="77"/>
      <c r="E15" s="128"/>
      <c r="G15" s="128"/>
      <c r="K15" s="77"/>
      <c r="L15" s="128"/>
      <c r="N15" s="128"/>
    </row>
    <row r="16" spans="3:16" ht="11.25">
      <c r="C16" s="1" t="s">
        <v>121</v>
      </c>
      <c r="E16" s="174">
        <f>+'Segment  2007 Qtr'!Q19</f>
        <v>492</v>
      </c>
      <c r="G16" s="174">
        <f>+'Segment  2007 Qtr'!Q41</f>
        <v>414</v>
      </c>
      <c r="I16" s="239">
        <f>(+E16-G16)/G16</f>
        <v>0.18840579710144928</v>
      </c>
      <c r="L16" s="174">
        <f>+'Segment  2007 YTD'!Q19</f>
        <v>1414</v>
      </c>
      <c r="N16" s="174">
        <f>+'Segment  2007 YTD'!Q41</f>
        <v>1173</v>
      </c>
      <c r="P16" s="239">
        <f>(+L16-N16)/N16</f>
        <v>0.20545609548167093</v>
      </c>
    </row>
    <row r="17" spans="3:14" ht="4.5" customHeight="1">
      <c r="C17" s="14"/>
      <c r="D17" s="14"/>
      <c r="E17" s="21"/>
      <c r="G17" s="21"/>
      <c r="K17" s="14"/>
      <c r="L17" s="21"/>
      <c r="N17" s="21"/>
    </row>
    <row r="18" spans="3:16" ht="11.25">
      <c r="C18" s="1" t="s">
        <v>253</v>
      </c>
      <c r="E18" s="250">
        <f>+'Segment  2007 Qtr'!Q24</f>
        <v>656</v>
      </c>
      <c r="G18" s="250">
        <f>+'Segment  2007 Qtr'!Q46</f>
        <v>578</v>
      </c>
      <c r="I18" s="126">
        <f>(+E18-G18)/G18</f>
        <v>0.13494809688581316</v>
      </c>
      <c r="L18" s="250">
        <f>+'Segment  2007 YTD'!Q24</f>
        <v>2006</v>
      </c>
      <c r="N18" s="250">
        <f>+'Segment  2007 YTD'!Q48</f>
        <v>1640</v>
      </c>
      <c r="P18" s="126">
        <f>(+L18-N18)/N18</f>
        <v>0.22317073170731708</v>
      </c>
    </row>
    <row r="19" spans="5:14" ht="4.5" customHeight="1">
      <c r="E19" s="128"/>
      <c r="G19" s="128"/>
      <c r="L19" s="128"/>
      <c r="N19" s="128"/>
    </row>
    <row r="20" spans="3:16" ht="13.5" customHeight="1">
      <c r="C20" s="76" t="s">
        <v>329</v>
      </c>
      <c r="D20" s="49"/>
      <c r="E20" s="174">
        <f>+'Segment  2007 Qtr'!Q29</f>
        <v>692</v>
      </c>
      <c r="G20" s="174">
        <f>+'Segment  2007 Qtr'!Q50</f>
        <v>652</v>
      </c>
      <c r="I20" s="126">
        <f>(+E20-G20)/G20</f>
        <v>0.06134969325153374</v>
      </c>
      <c r="K20" s="49"/>
      <c r="L20" s="174">
        <f>+'Segment  2007 YTD'!Q29</f>
        <v>2019</v>
      </c>
      <c r="N20" s="174">
        <f>+'Segment  2007 YTD'!Q54</f>
        <v>1708</v>
      </c>
      <c r="P20" s="126">
        <f>(+L20-N20)/N20</f>
        <v>0.18208430913348947</v>
      </c>
    </row>
    <row r="21" spans="5:14" ht="4.5" customHeight="1">
      <c r="E21" s="128"/>
      <c r="G21" s="129"/>
      <c r="L21" s="128"/>
      <c r="N21" s="129"/>
    </row>
    <row r="22" spans="3:16" ht="11.25">
      <c r="C22" s="1" t="s">
        <v>3</v>
      </c>
      <c r="E22" s="250">
        <f>'Comprehensive Income'!H19</f>
        <v>909</v>
      </c>
      <c r="F22" s="42"/>
      <c r="G22" s="129">
        <f>+'Comprehensive Income'!L19</f>
        <v>1094</v>
      </c>
      <c r="H22" s="42"/>
      <c r="I22" s="126">
        <f>(+E22-G22)/G22</f>
        <v>-0.16910420475319926</v>
      </c>
      <c r="L22" s="250">
        <f>+'Comprehensive Income'!N19</f>
        <v>1958</v>
      </c>
      <c r="M22" s="42"/>
      <c r="N22" s="129">
        <f>+'Comprehensive Income'!P19</f>
        <v>1876</v>
      </c>
      <c r="O22" s="42"/>
      <c r="P22" s="126">
        <f>(+L22-N22)/N22</f>
        <v>0.04371002132196162</v>
      </c>
    </row>
    <row r="23" spans="5:16" ht="4.5" customHeight="1">
      <c r="E23" s="129"/>
      <c r="F23" s="42"/>
      <c r="G23" s="129"/>
      <c r="H23" s="42"/>
      <c r="I23" s="42"/>
      <c r="L23" s="129"/>
      <c r="M23" s="42"/>
      <c r="N23" s="129"/>
      <c r="O23" s="42"/>
      <c r="P23" s="42"/>
    </row>
    <row r="24" spans="3:16" ht="11.25">
      <c r="C24" s="1" t="s">
        <v>165</v>
      </c>
      <c r="E24" s="250">
        <v>1484</v>
      </c>
      <c r="G24" s="31">
        <v>1333</v>
      </c>
      <c r="I24" s="126">
        <f>(+E24-G24)/G24</f>
        <v>0.11327831957989497</v>
      </c>
      <c r="L24" s="250">
        <f>2394+E24</f>
        <v>3878</v>
      </c>
      <c r="N24" s="31">
        <v>3301</v>
      </c>
      <c r="P24" s="126">
        <f>(+L24-N24)/N24</f>
        <v>0.17479551651014844</v>
      </c>
    </row>
    <row r="25" spans="5:14" ht="10.5" customHeight="1">
      <c r="E25" s="130"/>
      <c r="G25" s="131"/>
      <c r="L25" s="130"/>
      <c r="N25" s="131"/>
    </row>
    <row r="26" spans="3:14" ht="11.25">
      <c r="C26" s="178" t="s">
        <v>128</v>
      </c>
      <c r="E26" s="130"/>
      <c r="G26" s="131"/>
      <c r="L26" s="130"/>
      <c r="N26" s="131"/>
    </row>
    <row r="27" spans="3:16" ht="11.25" customHeight="1">
      <c r="C27" s="1" t="s">
        <v>123</v>
      </c>
      <c r="E27" s="16">
        <f>+'Consolidated Results'!D39</f>
        <v>0.625</v>
      </c>
      <c r="F27" s="256"/>
      <c r="G27" s="16">
        <f>+'Consolidated Results'!L39</f>
        <v>0.602</v>
      </c>
      <c r="H27" s="42"/>
      <c r="I27" s="548"/>
      <c r="L27" s="16">
        <f>+'Consolidated Results'!N39</f>
        <v>0.62</v>
      </c>
      <c r="M27" s="256"/>
      <c r="N27" s="16">
        <f>+'Consolidated Results'!P39</f>
        <v>0.61</v>
      </c>
      <c r="O27" s="42"/>
      <c r="P27" s="548"/>
    </row>
    <row r="28" spans="3:16" ht="11.25" customHeight="1">
      <c r="C28" s="1" t="s">
        <v>175</v>
      </c>
      <c r="E28" s="17">
        <f>+'Consolidated Results'!D40+'Consolidated Results'!D41</f>
        <v>0.26</v>
      </c>
      <c r="F28" s="256"/>
      <c r="G28" s="17">
        <f>+'Consolidated Results'!L40+'Consolidated Results'!L41</f>
        <v>0.256</v>
      </c>
      <c r="H28" s="42"/>
      <c r="I28" s="42"/>
      <c r="L28" s="17">
        <f>+'Consolidated Results'!N40+'Consolidated Results'!N41</f>
        <v>0.258</v>
      </c>
      <c r="M28" s="256"/>
      <c r="N28" s="17">
        <f>+'Consolidated Results'!P40+'Consolidated Results'!P41</f>
        <v>0.271</v>
      </c>
      <c r="O28" s="42"/>
      <c r="P28" s="42"/>
    </row>
    <row r="29" spans="3:16" ht="11.25" customHeight="1">
      <c r="C29" s="1" t="s">
        <v>54</v>
      </c>
      <c r="E29" s="373">
        <f>SUM(E27:E28)</f>
        <v>0.885</v>
      </c>
      <c r="F29" s="256"/>
      <c r="G29" s="373">
        <f>SUM(G27:G28)</f>
        <v>0.858</v>
      </c>
      <c r="H29" s="42"/>
      <c r="I29" s="42"/>
      <c r="L29" s="373">
        <f>SUM(L27:L28)</f>
        <v>0.878</v>
      </c>
      <c r="M29" s="256"/>
      <c r="N29" s="373">
        <f>SUM(N27:N28)</f>
        <v>0.881</v>
      </c>
      <c r="O29" s="42"/>
      <c r="P29" s="42"/>
    </row>
    <row r="30" spans="5:16" ht="8.25" customHeight="1">
      <c r="E30" s="16"/>
      <c r="F30" s="256"/>
      <c r="G30" s="16"/>
      <c r="H30" s="42"/>
      <c r="I30" s="42"/>
      <c r="L30" s="16"/>
      <c r="M30" s="256"/>
      <c r="N30" s="16"/>
      <c r="O30" s="42"/>
      <c r="P30" s="42"/>
    </row>
    <row r="31" spans="3:16" ht="11.25" customHeight="1">
      <c r="C31" s="1" t="s">
        <v>19</v>
      </c>
      <c r="E31" s="374">
        <v>0.181</v>
      </c>
      <c r="F31" s="42"/>
      <c r="G31" s="375">
        <v>0.206</v>
      </c>
      <c r="H31" s="42"/>
      <c r="I31" s="42"/>
      <c r="J31" s="75"/>
      <c r="L31" s="374">
        <v>0.181</v>
      </c>
      <c r="M31" s="42"/>
      <c r="N31" s="375">
        <v>0.184</v>
      </c>
      <c r="O31" s="42"/>
      <c r="P31" s="42"/>
    </row>
    <row r="32" spans="3:16" ht="11.25" customHeight="1">
      <c r="C32" s="78" t="s">
        <v>250</v>
      </c>
      <c r="E32" s="374">
        <v>0.186</v>
      </c>
      <c r="F32" s="42"/>
      <c r="G32" s="374">
        <v>0.21</v>
      </c>
      <c r="H32" s="42"/>
      <c r="I32" s="42"/>
      <c r="J32" s="75"/>
      <c r="L32" s="374">
        <v>0.188</v>
      </c>
      <c r="M32" s="42"/>
      <c r="N32" s="374">
        <v>0.191</v>
      </c>
      <c r="O32" s="42"/>
      <c r="P32" s="42"/>
    </row>
    <row r="33" spans="3:16" ht="6.75" customHeight="1">
      <c r="C33" s="78"/>
      <c r="E33" s="374"/>
      <c r="F33" s="42"/>
      <c r="G33" s="374"/>
      <c r="H33" s="42"/>
      <c r="I33" s="42"/>
      <c r="J33" s="75"/>
      <c r="L33" s="374"/>
      <c r="M33" s="42"/>
      <c r="N33" s="374"/>
      <c r="O33" s="42"/>
      <c r="P33" s="42"/>
    </row>
    <row r="34" spans="3:16" ht="11.25" customHeight="1">
      <c r="C34" s="78" t="s">
        <v>383</v>
      </c>
      <c r="E34" s="42"/>
      <c r="F34" s="42"/>
      <c r="G34" s="42"/>
      <c r="H34" s="42"/>
      <c r="I34" s="42"/>
      <c r="J34" s="75"/>
      <c r="L34" s="42"/>
      <c r="M34" s="42"/>
      <c r="N34" s="42"/>
      <c r="O34" s="42"/>
      <c r="P34" s="42"/>
    </row>
    <row r="35" spans="3:16" ht="11.25">
      <c r="C35" s="76" t="s">
        <v>384</v>
      </c>
      <c r="E35" s="444">
        <f>+'Consolidated Results'!D37</f>
        <v>0.17026378896882494</v>
      </c>
      <c r="F35" s="445"/>
      <c r="G35" s="444">
        <v>0.21</v>
      </c>
      <c r="H35" s="445"/>
      <c r="I35" s="445"/>
      <c r="J35" s="543"/>
      <c r="L35" s="444">
        <f>+'Consolidated Results'!N37</f>
        <v>0.18358269308532146</v>
      </c>
      <c r="M35" s="445"/>
      <c r="N35" s="444">
        <f>+'Consolidated Results'!R37</f>
        <v>0.19513865114686751</v>
      </c>
      <c r="O35" s="445"/>
      <c r="P35" s="445"/>
    </row>
    <row r="36" spans="5:16" ht="7.5" customHeight="1">
      <c r="E36" s="126"/>
      <c r="F36" s="42"/>
      <c r="G36" s="126"/>
      <c r="H36" s="42"/>
      <c r="I36" s="42"/>
      <c r="J36" s="75"/>
      <c r="L36" s="126"/>
      <c r="M36" s="42"/>
      <c r="N36" s="126"/>
      <c r="O36" s="42"/>
      <c r="P36" s="42"/>
    </row>
    <row r="37" spans="3:16" ht="11.25">
      <c r="C37" s="178" t="s">
        <v>299</v>
      </c>
      <c r="E37" s="42"/>
      <c r="F37" s="42"/>
      <c r="G37" s="42"/>
      <c r="H37" s="42"/>
      <c r="I37" s="42"/>
      <c r="J37" s="75"/>
      <c r="L37" s="42"/>
      <c r="M37" s="42"/>
      <c r="N37" s="42"/>
      <c r="O37" s="42"/>
      <c r="P37" s="42"/>
    </row>
    <row r="38" spans="3:16" ht="17.25" customHeight="1">
      <c r="C38" s="76" t="s">
        <v>337</v>
      </c>
      <c r="D38" s="115"/>
      <c r="E38" s="132">
        <f>+'Earnings per share '!D36</f>
        <v>2.06</v>
      </c>
      <c r="F38" s="42"/>
      <c r="G38" s="132">
        <f>+'Earnings per share '!F36</f>
        <v>1.96</v>
      </c>
      <c r="H38" s="42"/>
      <c r="I38" s="126">
        <f>(+E38-G38)/G38</f>
        <v>0.051020408163265356</v>
      </c>
      <c r="J38" s="117"/>
      <c r="K38" s="115"/>
      <c r="L38" s="132">
        <f>'Earnings per share '!H36</f>
        <v>6.02</v>
      </c>
      <c r="M38" s="42"/>
      <c r="N38" s="132">
        <f>'Earnings per share '!J36</f>
        <v>5.13</v>
      </c>
      <c r="O38" s="42"/>
      <c r="P38" s="126">
        <f>(+L38-N38)/N38</f>
        <v>0.17348927875243658</v>
      </c>
    </row>
    <row r="39" spans="3:16" ht="11.25" customHeight="1">
      <c r="C39" s="115" t="s">
        <v>253</v>
      </c>
      <c r="D39" s="115"/>
      <c r="E39" s="132">
        <f>+'Earnings per share '!D39</f>
        <v>1.95</v>
      </c>
      <c r="F39" s="42"/>
      <c r="G39" s="132">
        <f>+'Earnings per share '!F39</f>
        <v>1.73</v>
      </c>
      <c r="H39" s="42"/>
      <c r="I39" s="126">
        <f>(+E39-G39)/G39</f>
        <v>0.12716763005780346</v>
      </c>
      <c r="J39" s="117"/>
      <c r="K39" s="115"/>
      <c r="L39" s="132">
        <f>'Earnings per share '!H39</f>
        <v>5.9799999999999995</v>
      </c>
      <c r="M39" s="42"/>
      <c r="N39" s="132">
        <f>'Earnings per share '!J39</f>
        <v>4.92</v>
      </c>
      <c r="O39" s="42"/>
      <c r="P39" s="126">
        <f>(+L39-N39)/N39</f>
        <v>0.21544715447154464</v>
      </c>
    </row>
    <row r="40" spans="5:16" ht="7.5" customHeight="1">
      <c r="E40" s="42"/>
      <c r="F40" s="42"/>
      <c r="G40" s="42"/>
      <c r="H40" s="42"/>
      <c r="I40" s="42"/>
      <c r="J40" s="75"/>
      <c r="L40" s="42"/>
      <c r="M40" s="42"/>
      <c r="N40" s="42"/>
      <c r="O40" s="42"/>
      <c r="P40" s="42"/>
    </row>
    <row r="41" spans="3:16" ht="11.25" customHeight="1">
      <c r="C41" s="1" t="s">
        <v>220</v>
      </c>
      <c r="E41" s="132">
        <f>+'Consol Bal Sheet'!E49</f>
        <v>46.97985418076099</v>
      </c>
      <c r="F41" s="42"/>
      <c r="G41" s="107">
        <v>39.74</v>
      </c>
      <c r="H41" s="42"/>
      <c r="I41" s="239">
        <f>(+E41-G41)/G41</f>
        <v>0.18218052795070422</v>
      </c>
      <c r="J41" s="75"/>
      <c r="L41" s="132">
        <f>+E41</f>
        <v>46.97985418076099</v>
      </c>
      <c r="M41" s="42"/>
      <c r="N41" s="107">
        <f>+G41</f>
        <v>39.74</v>
      </c>
      <c r="O41" s="42"/>
      <c r="P41" s="239">
        <f>(+L41-N41)/N41</f>
        <v>0.18218052795070422</v>
      </c>
    </row>
    <row r="42" spans="3:16" ht="11.25" customHeight="1">
      <c r="C42" s="1" t="s">
        <v>301</v>
      </c>
      <c r="E42" s="132">
        <f>+'Consol Bal Sheet'!E50</f>
        <v>38.690541493872615</v>
      </c>
      <c r="F42" s="42"/>
      <c r="G42" s="107">
        <v>31.6</v>
      </c>
      <c r="H42" s="42"/>
      <c r="I42" s="239">
        <f>(+E42-G42)/G42</f>
        <v>0.22438422448963968</v>
      </c>
      <c r="J42" s="75"/>
      <c r="L42" s="132">
        <f>+E42</f>
        <v>38.690541493872615</v>
      </c>
      <c r="M42" s="42"/>
      <c r="N42" s="107">
        <f>+G42</f>
        <v>31.6</v>
      </c>
      <c r="O42" s="42"/>
      <c r="P42" s="239">
        <f>(+L42-N42)/N42</f>
        <v>0.22438422448963968</v>
      </c>
    </row>
    <row r="43" spans="5:16" ht="4.5" customHeight="1">
      <c r="E43" s="132"/>
      <c r="F43" s="42"/>
      <c r="G43" s="132"/>
      <c r="H43" s="42"/>
      <c r="I43" s="42"/>
      <c r="J43" s="75"/>
      <c r="L43" s="132"/>
      <c r="M43" s="42"/>
      <c r="N43" s="132"/>
      <c r="O43" s="42"/>
      <c r="P43" s="42"/>
    </row>
    <row r="44" spans="3:16" ht="11.25" customHeight="1">
      <c r="C44" s="115" t="s">
        <v>293</v>
      </c>
      <c r="E44" s="30">
        <f>'Earnings per share '!D25/1000000</f>
        <v>325.201688</v>
      </c>
      <c r="F44" s="42"/>
      <c r="G44" s="30">
        <f>'Earnings per share '!F25/1000000</f>
        <v>321.857427</v>
      </c>
      <c r="H44" s="42"/>
      <c r="I44" s="42"/>
      <c r="J44" s="75"/>
      <c r="L44" s="30">
        <f>'Earnings per share '!H25/1000000</f>
        <v>324.67096</v>
      </c>
      <c r="M44" s="42"/>
      <c r="N44" s="30">
        <v>321.5</v>
      </c>
      <c r="O44" s="42"/>
      <c r="P44" s="42"/>
    </row>
    <row r="45" spans="3:16" ht="11.25" customHeight="1">
      <c r="C45" s="115" t="s">
        <v>80</v>
      </c>
      <c r="D45" s="115"/>
      <c r="E45" s="30">
        <f>'Earnings per share '!D27/1000000</f>
        <v>330.621041</v>
      </c>
      <c r="F45" s="42"/>
      <c r="G45" s="30">
        <v>326.7</v>
      </c>
      <c r="H45" s="42"/>
      <c r="I45" s="126"/>
      <c r="J45" s="117"/>
      <c r="K45" s="115"/>
      <c r="L45" s="30">
        <f>'Earnings per share '!H27/1000000</f>
        <v>330.084711</v>
      </c>
      <c r="M45" s="42"/>
      <c r="N45" s="30">
        <v>326.5</v>
      </c>
      <c r="O45" s="42"/>
      <c r="P45" s="126"/>
    </row>
    <row r="46" spans="5:16" ht="8.25" customHeight="1">
      <c r="E46" s="42"/>
      <c r="F46" s="42"/>
      <c r="G46" s="42"/>
      <c r="H46" s="42"/>
      <c r="I46" s="42"/>
      <c r="J46" s="75"/>
      <c r="L46" s="42"/>
      <c r="M46" s="42"/>
      <c r="N46" s="42"/>
      <c r="O46" s="42"/>
      <c r="P46" s="42"/>
    </row>
    <row r="47" spans="3:16" ht="11.25">
      <c r="C47" s="61" t="s">
        <v>197</v>
      </c>
      <c r="E47" s="375">
        <f>'Capital Structure'!D24</f>
        <v>0.11649278339369695</v>
      </c>
      <c r="F47" s="42"/>
      <c r="G47" s="375">
        <v>0.134</v>
      </c>
      <c r="H47" s="42"/>
      <c r="I47" s="42"/>
      <c r="J47" s="75"/>
      <c r="L47" s="375">
        <f>+E47</f>
        <v>0.11649278339369695</v>
      </c>
      <c r="M47" s="42"/>
      <c r="N47" s="375">
        <f>+G47</f>
        <v>0.134</v>
      </c>
      <c r="O47" s="42"/>
      <c r="P47" s="42"/>
    </row>
    <row r="48" spans="5:15" ht="8.25" customHeight="1">
      <c r="E48" s="42"/>
      <c r="F48" s="42"/>
      <c r="G48" s="42"/>
      <c r="H48" s="42"/>
      <c r="I48" s="42"/>
      <c r="J48" s="403"/>
      <c r="K48" s="403"/>
      <c r="L48" s="403"/>
      <c r="M48" s="403"/>
      <c r="N48" s="403"/>
      <c r="O48" s="403"/>
    </row>
    <row r="49" spans="3:15" ht="12" customHeight="1">
      <c r="C49" s="526" t="s">
        <v>425</v>
      </c>
      <c r="D49" s="259"/>
      <c r="E49" s="259"/>
      <c r="F49" s="259"/>
      <c r="G49" s="259"/>
      <c r="H49" s="259"/>
      <c r="I49" s="259"/>
      <c r="J49"/>
      <c r="K49"/>
      <c r="L49"/>
      <c r="M49"/>
      <c r="N49"/>
      <c r="O49"/>
    </row>
    <row r="50" spans="3:15" ht="13.5" customHeight="1">
      <c r="C50" s="629" t="s">
        <v>346</v>
      </c>
      <c r="D50" s="629"/>
      <c r="E50" s="629"/>
      <c r="F50" s="629"/>
      <c r="G50" s="629"/>
      <c r="H50" s="629"/>
      <c r="I50" s="629"/>
      <c r="J50" s="629"/>
      <c r="K50" s="629"/>
      <c r="L50" s="629"/>
      <c r="M50" s="629"/>
      <c r="N50"/>
      <c r="O50"/>
    </row>
    <row r="70" spans="3:15" ht="12.75">
      <c r="C70" s="626" t="s">
        <v>89</v>
      </c>
      <c r="D70" s="626"/>
      <c r="E70" s="626"/>
      <c r="F70" s="626"/>
      <c r="G70" s="626"/>
      <c r="H70" s="626"/>
      <c r="I70" s="626"/>
      <c r="J70" s="626"/>
      <c r="K70" s="626"/>
      <c r="L70" s="626"/>
      <c r="M70" s="626"/>
      <c r="N70" s="626"/>
      <c r="O70" s="626"/>
    </row>
    <row r="71" spans="3:15" ht="11.25">
      <c r="C71" s="627" t="s">
        <v>150</v>
      </c>
      <c r="D71" s="627"/>
      <c r="E71" s="627"/>
      <c r="F71" s="627"/>
      <c r="G71" s="627"/>
      <c r="H71" s="627"/>
      <c r="I71" s="627"/>
      <c r="J71" s="627"/>
      <c r="K71" s="627"/>
      <c r="L71" s="627"/>
      <c r="M71" s="627"/>
      <c r="N71" s="627"/>
      <c r="O71" s="627"/>
    </row>
    <row r="72" spans="3:15" ht="11.25">
      <c r="C72" s="602" t="s">
        <v>147</v>
      </c>
      <c r="D72" s="602"/>
      <c r="E72" s="602"/>
      <c r="F72" s="602"/>
      <c r="G72" s="602"/>
      <c r="H72" s="602"/>
      <c r="I72" s="602"/>
      <c r="J72" s="602"/>
      <c r="K72" s="602"/>
      <c r="L72" s="602"/>
      <c r="M72" s="602"/>
      <c r="N72" s="602"/>
      <c r="O72" s="602"/>
    </row>
    <row r="73" spans="3:17" ht="12.75">
      <c r="C73" s="602" t="s">
        <v>163</v>
      </c>
      <c r="D73" s="602"/>
      <c r="E73" s="602"/>
      <c r="F73" s="602"/>
      <c r="G73" s="602"/>
      <c r="H73" s="602"/>
      <c r="I73" s="602"/>
      <c r="J73" s="602"/>
      <c r="K73" s="602"/>
      <c r="L73" s="602"/>
      <c r="M73" s="602"/>
      <c r="N73" s="602"/>
      <c r="O73" s="602"/>
      <c r="P73"/>
      <c r="Q73"/>
    </row>
    <row r="74" spans="3:17" ht="12.75">
      <c r="C74" s="15"/>
      <c r="D74" s="15"/>
      <c r="E74" s="121"/>
      <c r="F74" s="121"/>
      <c r="G74" s="121"/>
      <c r="H74" s="121"/>
      <c r="I74" s="121" t="s">
        <v>159</v>
      </c>
      <c r="J74" s="15"/>
      <c r="K74" s="15"/>
      <c r="L74" s="121"/>
      <c r="M74" s="121"/>
      <c r="N74" s="121"/>
      <c r="O74" s="121"/>
      <c r="P74" s="121" t="s">
        <v>159</v>
      </c>
      <c r="Q74"/>
    </row>
    <row r="75" spans="3:17" ht="12.75" customHeight="1">
      <c r="C75" s="125"/>
      <c r="D75" s="624" t="str">
        <f>+D7</f>
        <v>Three months ended September 30</v>
      </c>
      <c r="E75" s="625"/>
      <c r="F75" s="625"/>
      <c r="G75" s="625"/>
      <c r="H75" s="625"/>
      <c r="I75" s="2" t="str">
        <f>+I7</f>
        <v>3Q-07 vs.</v>
      </c>
      <c r="J75" s="123"/>
      <c r="K75" s="624" t="str">
        <f>+K7</f>
        <v>Nine months ended September 30</v>
      </c>
      <c r="L75" s="625"/>
      <c r="M75" s="625"/>
      <c r="N75" s="625"/>
      <c r="O75" s="625"/>
      <c r="P75" s="2" t="str">
        <f>+P7</f>
        <v>YTD-07 vs.</v>
      </c>
      <c r="Q75"/>
    </row>
    <row r="76" spans="3:17" ht="12.75">
      <c r="C76" s="15"/>
      <c r="D76" s="15"/>
      <c r="E76" s="562" t="str">
        <f>+E8</f>
        <v>2007</v>
      </c>
      <c r="F76" s="122"/>
      <c r="G76" s="562" t="str">
        <f>+G8</f>
        <v>2006</v>
      </c>
      <c r="H76" s="123"/>
      <c r="I76" s="60" t="str">
        <f>+I8</f>
        <v>3Q-06</v>
      </c>
      <c r="J76" s="15"/>
      <c r="K76" s="15"/>
      <c r="L76" s="562" t="str">
        <f>+L8</f>
        <v>2007</v>
      </c>
      <c r="M76" s="122"/>
      <c r="N76" s="562" t="str">
        <f>+N8</f>
        <v>2006</v>
      </c>
      <c r="O76" s="123"/>
      <c r="P76" s="60" t="str">
        <f>+P8</f>
        <v>YTD-06</v>
      </c>
      <c r="Q76"/>
    </row>
    <row r="77" spans="3:17" ht="12.75">
      <c r="C77" s="124"/>
      <c r="D77" s="124"/>
      <c r="E77" s="125"/>
      <c r="F77" s="125"/>
      <c r="G77" s="15"/>
      <c r="H77" s="15"/>
      <c r="J77" s="124"/>
      <c r="K77" s="124"/>
      <c r="L77" s="125"/>
      <c r="M77" s="125"/>
      <c r="N77" s="15"/>
      <c r="O77" s="15"/>
      <c r="Q77"/>
    </row>
    <row r="78" spans="2:17" ht="12.75">
      <c r="B78" s="15"/>
      <c r="C78" s="172" t="s">
        <v>124</v>
      </c>
      <c r="D78" s="173"/>
      <c r="E78" s="174">
        <f>+'Segment  2007 Qtr'!Q10</f>
        <v>4463</v>
      </c>
      <c r="F78" s="174"/>
      <c r="G78" s="339">
        <f>+'Segment  2007 Qtr'!Q32</f>
        <v>4297</v>
      </c>
      <c r="H78" s="174"/>
      <c r="I78" s="175">
        <f>(+E78-G78)/G78</f>
        <v>0.03863160344426344</v>
      </c>
      <c r="J78" s="173"/>
      <c r="K78" s="173"/>
      <c r="L78" s="128">
        <f>+'Segment  2007 YTD'!Q10</f>
        <v>13596</v>
      </c>
      <c r="M78" s="174"/>
      <c r="N78" s="128">
        <f>+'Segment  2007 YTD'!Q32</f>
        <v>13391</v>
      </c>
      <c r="O78" s="174"/>
      <c r="P78" s="175">
        <f>(+L78-N78)/N78</f>
        <v>0.01530878948547532</v>
      </c>
      <c r="Q78"/>
    </row>
    <row r="79" spans="2:17" ht="12.75">
      <c r="B79" s="15"/>
      <c r="C79" s="172"/>
      <c r="D79" s="173"/>
      <c r="E79" s="176"/>
      <c r="F79" s="176"/>
      <c r="G79" s="128"/>
      <c r="H79" s="176"/>
      <c r="I79" s="171"/>
      <c r="J79" s="173"/>
      <c r="K79" s="173"/>
      <c r="L79" s="176"/>
      <c r="M79" s="176"/>
      <c r="N79" s="128"/>
      <c r="O79" s="176"/>
      <c r="P79" s="171"/>
      <c r="Q79"/>
    </row>
    <row r="80" spans="2:17" ht="12.75">
      <c r="B80" s="15"/>
      <c r="C80" s="172" t="s">
        <v>125</v>
      </c>
      <c r="D80" s="173"/>
      <c r="E80" s="174">
        <f>+'Segment  2007 Qtr'!Q11</f>
        <v>2800</v>
      </c>
      <c r="F80" s="174"/>
      <c r="G80" s="339">
        <f>+'Segment  2007 Qtr'!Q33</f>
        <v>2790</v>
      </c>
      <c r="H80" s="177"/>
      <c r="I80" s="175">
        <f>(+E80-G80)/G80</f>
        <v>0.0035842293906810036</v>
      </c>
      <c r="J80" s="173"/>
      <c r="K80" s="173"/>
      <c r="L80" s="128">
        <f>+'Segment  2007 YTD'!Q11</f>
        <v>9152</v>
      </c>
      <c r="M80" s="177"/>
      <c r="N80" s="128">
        <f>+'Segment  2007 YTD'!Q33</f>
        <v>9166</v>
      </c>
      <c r="O80" s="177"/>
      <c r="P80" s="175">
        <f>(+L80-N80)/N80</f>
        <v>-0.0015273838097316168</v>
      </c>
      <c r="Q80"/>
    </row>
    <row r="81" spans="2:17" ht="12.75">
      <c r="B81" s="15"/>
      <c r="C81" s="172"/>
      <c r="D81" s="173"/>
      <c r="E81" s="177"/>
      <c r="F81" s="177"/>
      <c r="G81" s="128"/>
      <c r="H81" s="177"/>
      <c r="I81" s="171"/>
      <c r="J81" s="173"/>
      <c r="K81" s="173"/>
      <c r="L81" s="177"/>
      <c r="M81" s="177"/>
      <c r="N81" s="128"/>
      <c r="O81" s="177"/>
      <c r="P81" s="171"/>
      <c r="Q81"/>
    </row>
    <row r="82" spans="2:17" ht="12.75">
      <c r="B82" s="15"/>
      <c r="C82" s="172" t="s">
        <v>126</v>
      </c>
      <c r="D82" s="173"/>
      <c r="E82" s="174">
        <f>+'Segment  2007 Qtr'!Q12</f>
        <v>3150</v>
      </c>
      <c r="F82" s="174"/>
      <c r="G82" s="339">
        <f>+'Segment  2007 Qtr'!Q34</f>
        <v>3088</v>
      </c>
      <c r="H82" s="177"/>
      <c r="I82" s="175">
        <f>(+E82-G82)/G82</f>
        <v>0.020077720207253884</v>
      </c>
      <c r="J82" s="173"/>
      <c r="K82" s="173"/>
      <c r="L82" s="128">
        <f>+'Segment  2007 YTD'!Q12</f>
        <v>9240</v>
      </c>
      <c r="M82" s="177"/>
      <c r="N82" s="128">
        <f>+'Segment  2007 YTD'!Q34</f>
        <v>8799</v>
      </c>
      <c r="O82" s="177"/>
      <c r="P82" s="175">
        <f>(+L82-N82)/N82</f>
        <v>0.050119331742243436</v>
      </c>
      <c r="Q82"/>
    </row>
    <row r="83" spans="2:17" ht="12.75">
      <c r="B83" s="15"/>
      <c r="C83" s="172"/>
      <c r="D83" s="172"/>
      <c r="E83" s="172"/>
      <c r="F83" s="172"/>
      <c r="G83" s="172"/>
      <c r="H83" s="172"/>
      <c r="I83" s="171"/>
      <c r="J83" s="172"/>
      <c r="K83" s="172"/>
      <c r="L83" s="172"/>
      <c r="M83" s="172"/>
      <c r="N83" s="172"/>
      <c r="O83" s="172"/>
      <c r="P83" s="171"/>
      <c r="Q83"/>
    </row>
    <row r="84" spans="2:17" ht="12.75">
      <c r="B84" s="15"/>
      <c r="C84" s="15" t="s">
        <v>119</v>
      </c>
      <c r="D84" s="15"/>
      <c r="E84" s="10">
        <f>+'Segment  2007 Qtr'!M13</f>
        <v>1910</v>
      </c>
      <c r="F84" s="10"/>
      <c r="G84" s="53">
        <f>+'Segment  2007 Qtr'!M35</f>
        <v>1818</v>
      </c>
      <c r="H84" s="10"/>
      <c r="I84" s="126">
        <f>(+E84-G84)/G84</f>
        <v>0.050605060506050605</v>
      </c>
      <c r="J84" s="15"/>
      <c r="K84" s="15"/>
      <c r="L84" s="10">
        <f>+'Segment  2007 YTD'!Q13</f>
        <v>5563</v>
      </c>
      <c r="M84" s="10"/>
      <c r="N84" s="10">
        <f>+'Segment  2007 YTD'!Q35</f>
        <v>5246</v>
      </c>
      <c r="O84" s="10"/>
      <c r="P84" s="126">
        <f>(+L84-N84)/N84</f>
        <v>0.060426991993900114</v>
      </c>
      <c r="Q84"/>
    </row>
    <row r="85" spans="2:17" ht="12.75">
      <c r="B85" s="15"/>
      <c r="C85" s="15" t="s">
        <v>118</v>
      </c>
      <c r="D85" s="15"/>
      <c r="E85" s="10">
        <f>+'Segment  2007 Qtr'!Q14</f>
        <v>39</v>
      </c>
      <c r="F85" s="10"/>
      <c r="G85" s="53">
        <f>+'Segment  2007 Qtr'!Q36</f>
        <v>29</v>
      </c>
      <c r="H85" s="10"/>
      <c r="I85" s="126">
        <f>(+E85-G85)/G85</f>
        <v>0.3448275862068966</v>
      </c>
      <c r="J85" s="15"/>
      <c r="K85" s="15"/>
      <c r="L85" s="10">
        <f>+'Segment  2007 YTD'!Q14</f>
        <v>108</v>
      </c>
      <c r="M85" s="10"/>
      <c r="N85" s="10">
        <f>+'Segment  2007 YTD'!Q36</f>
        <v>91</v>
      </c>
      <c r="O85" s="10"/>
      <c r="P85" s="126">
        <f>(+L85-N85)/N85</f>
        <v>0.18681318681318682</v>
      </c>
      <c r="Q85"/>
    </row>
    <row r="86" spans="2:18" ht="12.75">
      <c r="B86" s="15"/>
      <c r="C86" s="15" t="s">
        <v>129</v>
      </c>
      <c r="D86" s="15"/>
      <c r="E86" s="10">
        <f>+'Segment  2007 Qtr'!Q15</f>
        <v>463</v>
      </c>
      <c r="F86" s="10"/>
      <c r="G86" s="53">
        <f>+'Segment  2007 Qtr'!Q37</f>
        <v>437</v>
      </c>
      <c r="H86" s="10"/>
      <c r="I86" s="126">
        <f>(+E86-G86)/G86</f>
        <v>0.059496567505720827</v>
      </c>
      <c r="J86" s="15"/>
      <c r="K86" s="15"/>
      <c r="L86" s="10">
        <f>+'Segment  2007 YTD'!Q15</f>
        <v>1314</v>
      </c>
      <c r="M86" s="10"/>
      <c r="N86" s="10">
        <f>+'Segment  2007 YTD'!Q37</f>
        <v>1282</v>
      </c>
      <c r="O86" s="10"/>
      <c r="P86" s="126">
        <f>(+L86-N86)/N86</f>
        <v>0.0249609984399376</v>
      </c>
      <c r="Q86"/>
      <c r="R86" s="338"/>
    </row>
    <row r="87" spans="2:18" ht="12.75">
      <c r="B87" s="15"/>
      <c r="C87" s="15" t="s">
        <v>127</v>
      </c>
      <c r="D87" s="15"/>
      <c r="E87" s="13">
        <f>+'Segment  2007 Qtr'!Q16</f>
        <v>358</v>
      </c>
      <c r="F87" s="13"/>
      <c r="G87" s="249">
        <f>+'Segment  2007 Qtr'!Q38</f>
        <v>353</v>
      </c>
      <c r="H87" s="10"/>
      <c r="I87" s="127">
        <f>(+E87-G87)/G87</f>
        <v>0.014164305949008499</v>
      </c>
      <c r="J87" s="15"/>
      <c r="K87" s="15"/>
      <c r="L87" s="13">
        <f>+'Segment  2007 YTD'!Q16</f>
        <v>1070</v>
      </c>
      <c r="M87" s="13"/>
      <c r="N87" s="13">
        <f>+'Segment  2007 YTD'!Q38</f>
        <v>1091</v>
      </c>
      <c r="O87" s="10"/>
      <c r="P87" s="127">
        <f>(+L87-N87)/N87</f>
        <v>-0.01924839596700275</v>
      </c>
      <c r="Q87"/>
      <c r="R87" s="338"/>
    </row>
    <row r="88" spans="2:19" ht="12.75">
      <c r="B88" s="15"/>
      <c r="C88" s="172" t="s">
        <v>55</v>
      </c>
      <c r="D88" s="172"/>
      <c r="E88" s="174">
        <f>+E82-E84-E85-E86-E87</f>
        <v>380</v>
      </c>
      <c r="F88" s="176"/>
      <c r="G88" s="174">
        <f>+G82-G84-G85-G86-G87</f>
        <v>451</v>
      </c>
      <c r="H88" s="176"/>
      <c r="I88" s="175">
        <f>(+E88-G88)/G88</f>
        <v>-0.1574279379157428</v>
      </c>
      <c r="J88" s="172"/>
      <c r="K88" s="172"/>
      <c r="L88" s="174">
        <f>+L82-L84-L85-L86-L87</f>
        <v>1185</v>
      </c>
      <c r="M88" s="176"/>
      <c r="N88" s="174">
        <f>+N82-N84-N85-N86-N87</f>
        <v>1089</v>
      </c>
      <c r="O88" s="176"/>
      <c r="P88" s="175">
        <f>(+L88-N88)/N88</f>
        <v>0.0881542699724518</v>
      </c>
      <c r="Q88"/>
      <c r="R88" s="338"/>
      <c r="S88" s="338"/>
    </row>
    <row r="89" spans="2:17" ht="12.75">
      <c r="B89" s="15"/>
      <c r="C89" s="172"/>
      <c r="D89" s="172"/>
      <c r="E89" s="198"/>
      <c r="F89" s="198"/>
      <c r="G89" s="251"/>
      <c r="H89" s="198"/>
      <c r="I89" s="171"/>
      <c r="J89" s="172"/>
      <c r="K89" s="172"/>
      <c r="L89" s="198"/>
      <c r="M89" s="198"/>
      <c r="N89" s="251"/>
      <c r="O89" s="198"/>
      <c r="P89" s="171"/>
      <c r="Q89"/>
    </row>
    <row r="90" spans="2:17" ht="12.75">
      <c r="B90" s="15"/>
      <c r="C90" s="172" t="s">
        <v>121</v>
      </c>
      <c r="D90" s="172"/>
      <c r="E90" s="176">
        <f>+'Segment  2007 Qtr'!Q19</f>
        <v>492</v>
      </c>
      <c r="F90" s="176"/>
      <c r="G90" s="201">
        <f>+'Segment  2007 Qtr'!Q41</f>
        <v>414</v>
      </c>
      <c r="H90" s="176"/>
      <c r="I90" s="175">
        <f>(+E90-G90)/G90</f>
        <v>0.18840579710144928</v>
      </c>
      <c r="J90" s="172"/>
      <c r="K90" s="172"/>
      <c r="L90" s="176">
        <f>+'Segment  2007 YTD'!Q19</f>
        <v>1414</v>
      </c>
      <c r="M90" s="176"/>
      <c r="N90" s="201">
        <f>+'Segment  2007 YTD'!Q41</f>
        <v>1173</v>
      </c>
      <c r="O90" s="176"/>
      <c r="P90" s="175">
        <f>(+L90-N90)/N90</f>
        <v>0.20545609548167093</v>
      </c>
      <c r="Q90"/>
    </row>
    <row r="91" spans="2:17" ht="12.75">
      <c r="B91" s="15"/>
      <c r="C91" s="172" t="s">
        <v>198</v>
      </c>
      <c r="D91" s="172"/>
      <c r="E91" s="201">
        <f>+'Segment  2007 Qtr'!Q20</f>
        <v>0</v>
      </c>
      <c r="F91" s="201"/>
      <c r="G91" s="201">
        <f>+'Segment  2007 Qtr'!Q42</f>
        <v>-113</v>
      </c>
      <c r="H91" s="176"/>
      <c r="I91" s="175">
        <f>(+E91-G91)/G91</f>
        <v>-1</v>
      </c>
      <c r="J91" s="172"/>
      <c r="K91" s="172"/>
      <c r="L91" s="176">
        <f>+'Segment  2007 YTD'!Q20</f>
        <v>5</v>
      </c>
      <c r="M91" s="201"/>
      <c r="N91" s="201">
        <f>+'Segment  2007 YTD'!Q42</f>
        <v>-113</v>
      </c>
      <c r="O91" s="176"/>
      <c r="P91" s="199" t="s">
        <v>194</v>
      </c>
      <c r="Q91"/>
    </row>
    <row r="92" spans="2:17" ht="12.75">
      <c r="B92" s="15"/>
      <c r="C92" s="172" t="s">
        <v>139</v>
      </c>
      <c r="D92" s="172"/>
      <c r="E92" s="176">
        <f>+'Segment  2007 Qtr'!Q21</f>
        <v>44</v>
      </c>
      <c r="F92" s="176"/>
      <c r="G92" s="201">
        <f>+'Segment  2007 Qtr'!Q43</f>
        <v>46</v>
      </c>
      <c r="H92" s="176"/>
      <c r="I92" s="175">
        <f>(+E92-G92)/G92</f>
        <v>-0.043478260869565216</v>
      </c>
      <c r="J92" s="172"/>
      <c r="K92" s="172"/>
      <c r="L92" s="176">
        <f>+'Segment  2007 YTD'!Q21</f>
        <v>132</v>
      </c>
      <c r="M92" s="176"/>
      <c r="N92" s="201">
        <f>+'Segment  2007 YTD'!Q43</f>
        <v>134</v>
      </c>
      <c r="O92" s="176"/>
      <c r="P92" s="175">
        <f>(+L92-N92)/N92</f>
        <v>-0.014925373134328358</v>
      </c>
      <c r="Q92"/>
    </row>
    <row r="93" spans="2:17" ht="12.75">
      <c r="B93" s="15"/>
      <c r="C93" s="1" t="s">
        <v>245</v>
      </c>
      <c r="D93" s="172"/>
      <c r="E93" s="176">
        <f>+'Segment  2007 Qtr'!Q22</f>
        <v>32</v>
      </c>
      <c r="F93" s="176"/>
      <c r="G93" s="201">
        <f>+'Segment  2007 Qtr'!Q44</f>
        <v>-2</v>
      </c>
      <c r="H93" s="176"/>
      <c r="I93" s="199" t="s">
        <v>194</v>
      </c>
      <c r="J93" s="172"/>
      <c r="K93" s="172"/>
      <c r="L93" s="176">
        <f>+'Segment  2007 YTD'!Q22</f>
        <v>32</v>
      </c>
      <c r="M93" s="176"/>
      <c r="N93" s="201">
        <f>+'Segment  2007 YTD'!Q44</f>
        <v>-19</v>
      </c>
      <c r="O93" s="176"/>
      <c r="P93" s="199" t="s">
        <v>194</v>
      </c>
      <c r="Q93"/>
    </row>
    <row r="94" spans="2:17" ht="12.75">
      <c r="B94" s="15"/>
      <c r="C94" s="172" t="s">
        <v>122</v>
      </c>
      <c r="D94" s="172"/>
      <c r="E94" s="201">
        <f>+'Segment  2007 Qtr'!Q23</f>
        <v>140</v>
      </c>
      <c r="F94" s="176"/>
      <c r="G94" s="201">
        <f>+'Segment  2007 Qtr'!Q45</f>
        <v>130</v>
      </c>
      <c r="H94" s="176"/>
      <c r="I94" s="175">
        <f>(+E94-G94)/G94</f>
        <v>0.07692307692307693</v>
      </c>
      <c r="J94" s="172"/>
      <c r="K94" s="172"/>
      <c r="L94" s="201">
        <f>+'Segment  2007 YTD'!Q23</f>
        <v>434</v>
      </c>
      <c r="M94" s="176"/>
      <c r="N94" s="201">
        <f>+'Segment  2007 YTD'!Q45</f>
        <v>398</v>
      </c>
      <c r="O94" s="176"/>
      <c r="P94" s="175">
        <f>(+L94-N94)/N94</f>
        <v>0.09045226130653267</v>
      </c>
      <c r="Q94"/>
    </row>
    <row r="95" spans="2:17" ht="14.25" customHeight="1">
      <c r="B95" s="15"/>
      <c r="C95" s="200" t="s">
        <v>338</v>
      </c>
      <c r="D95" s="172"/>
      <c r="E95" s="13">
        <v>0</v>
      </c>
      <c r="F95" s="13"/>
      <c r="G95" s="13">
        <v>0</v>
      </c>
      <c r="H95" s="10"/>
      <c r="I95" s="502" t="s">
        <v>194</v>
      </c>
      <c r="J95" s="172"/>
      <c r="K95" s="172"/>
      <c r="L95" s="13">
        <f>+'Segment  2007 YTD'!Q25</f>
        <v>0</v>
      </c>
      <c r="M95" s="13"/>
      <c r="N95" s="13">
        <f>+'Segment  2007 YTD'!Q47</f>
        <v>4</v>
      </c>
      <c r="O95" s="10"/>
      <c r="P95" s="502">
        <f>(+L95-N95)/N95</f>
        <v>-1</v>
      </c>
      <c r="Q95"/>
    </row>
    <row r="96" spans="2:17" ht="12.75">
      <c r="B96" s="15"/>
      <c r="C96" s="172" t="s">
        <v>206</v>
      </c>
      <c r="D96" s="172"/>
      <c r="E96" s="174">
        <f>+E88+E90-E93-E92-E94+E91+E95</f>
        <v>656</v>
      </c>
      <c r="F96" s="176"/>
      <c r="G96" s="174">
        <f>+G88+G90-G93-G92-G94+G91+G95</f>
        <v>578</v>
      </c>
      <c r="H96" s="176"/>
      <c r="I96" s="175">
        <f>(+E96-G96)/G96</f>
        <v>0.13494809688581316</v>
      </c>
      <c r="J96" s="172"/>
      <c r="K96" s="172"/>
      <c r="L96" s="174">
        <f>+L88+L90-L93-L92-L94+L91+L95</f>
        <v>2006</v>
      </c>
      <c r="M96" s="176"/>
      <c r="N96" s="174">
        <f>+N88+N90-N93-N92-N94+N91+N95</f>
        <v>1640</v>
      </c>
      <c r="O96" s="176"/>
      <c r="P96" s="175">
        <f>(+L96-N96)/N96</f>
        <v>0.22317073170731708</v>
      </c>
      <c r="Q96"/>
    </row>
    <row r="97" spans="2:17" ht="6.75" customHeight="1">
      <c r="B97" s="15"/>
      <c r="D97" s="172"/>
      <c r="E97" s="198"/>
      <c r="F97" s="198"/>
      <c r="G97" s="251"/>
      <c r="H97" s="198"/>
      <c r="I97" s="171"/>
      <c r="J97" s="172"/>
      <c r="K97" s="172"/>
      <c r="L97" s="174"/>
      <c r="M97" s="176"/>
      <c r="N97" s="174"/>
      <c r="O97" s="176"/>
      <c r="P97" s="199"/>
      <c r="Q97"/>
    </row>
    <row r="98" spans="2:17" ht="12.75">
      <c r="B98" s="15"/>
      <c r="C98" s="172" t="s">
        <v>198</v>
      </c>
      <c r="D98" s="172"/>
      <c r="E98" s="201">
        <f>+E91</f>
        <v>0</v>
      </c>
      <c r="F98" s="201"/>
      <c r="G98" s="201">
        <f>+G91</f>
        <v>-113</v>
      </c>
      <c r="H98" s="176"/>
      <c r="I98" s="175">
        <f>(+E98-G98)/G98</f>
        <v>-1</v>
      </c>
      <c r="J98" s="172"/>
      <c r="K98" s="172"/>
      <c r="L98" s="201">
        <f>+L91</f>
        <v>5</v>
      </c>
      <c r="M98" s="201"/>
      <c r="N98" s="201">
        <f>+N91</f>
        <v>-113</v>
      </c>
      <c r="O98" s="176"/>
      <c r="P98" s="199" t="s">
        <v>194</v>
      </c>
      <c r="Q98"/>
    </row>
    <row r="99" spans="2:17" ht="12.75">
      <c r="B99" s="15"/>
      <c r="C99" s="171" t="s">
        <v>511</v>
      </c>
      <c r="D99" s="172"/>
      <c r="E99" s="201">
        <f>+'Consolidated Results'!D26</f>
        <v>-38</v>
      </c>
      <c r="F99" s="201"/>
      <c r="G99" s="201"/>
      <c r="H99" s="176"/>
      <c r="I99" s="175"/>
      <c r="J99" s="172"/>
      <c r="K99" s="172"/>
      <c r="L99" s="201">
        <f>+'Consolidated Results'!N26</f>
        <v>-38</v>
      </c>
      <c r="M99" s="201"/>
      <c r="N99" s="201"/>
      <c r="O99" s="176"/>
      <c r="P99" s="199"/>
      <c r="Q99"/>
    </row>
    <row r="100" spans="2:17" ht="12.75">
      <c r="B100" s="15"/>
      <c r="C100" s="172" t="s">
        <v>246</v>
      </c>
      <c r="D100" s="172"/>
      <c r="E100" s="201">
        <f>+'Segment  2007 Qtr'!Q28</f>
        <v>-2</v>
      </c>
      <c r="F100" s="201"/>
      <c r="G100" s="201">
        <f>+'Segment  2007 Qtr'!Q49</f>
        <v>-39</v>
      </c>
      <c r="H100" s="176"/>
      <c r="I100" s="175">
        <f>(+E100-G100)/G100</f>
        <v>-0.9487179487179487</v>
      </c>
      <c r="J100" s="172"/>
      <c r="K100" s="172"/>
      <c r="L100" s="201">
        <f>+'Segment  2007 YTD'!Q28</f>
        <v>-20</v>
      </c>
      <c r="M100" s="201"/>
      <c r="N100" s="201">
        <f>+'Segment  2007 YTD'!Q51</f>
        <v>-41</v>
      </c>
      <c r="O100" s="176"/>
      <c r="P100" s="175">
        <f>(+L100-N100)/N100</f>
        <v>-0.5121951219512195</v>
      </c>
      <c r="Q100"/>
    </row>
    <row r="101" spans="2:17" ht="12.75">
      <c r="B101" s="15"/>
      <c r="C101" s="200" t="s">
        <v>338</v>
      </c>
      <c r="D101" s="172"/>
      <c r="E101" s="13">
        <f>+E95</f>
        <v>0</v>
      </c>
      <c r="F101" s="13"/>
      <c r="G101" s="13">
        <v>0</v>
      </c>
      <c r="H101" s="10"/>
      <c r="I101" s="199" t="s">
        <v>194</v>
      </c>
      <c r="J101" s="493"/>
      <c r="K101" s="493"/>
      <c r="L101" s="201">
        <f>+'Segment  2007 YTD'!Q31</f>
        <v>0</v>
      </c>
      <c r="M101" s="201"/>
      <c r="N101" s="201">
        <f>+'Segment  2007 YTD'!Q53</f>
        <v>4</v>
      </c>
      <c r="O101" s="176"/>
      <c r="P101" s="199" t="s">
        <v>194</v>
      </c>
      <c r="Q101"/>
    </row>
    <row r="102" spans="2:17" ht="13.5" thickBot="1">
      <c r="B102" s="15"/>
      <c r="C102" s="200" t="s">
        <v>115</v>
      </c>
      <c r="D102" s="172"/>
      <c r="E102" s="252">
        <f>+E96-E98-E99+E100-E101</f>
        <v>692</v>
      </c>
      <c r="F102" s="190"/>
      <c r="G102" s="252">
        <f>+G96-G98+G100-G101</f>
        <v>652</v>
      </c>
      <c r="H102" s="174"/>
      <c r="I102" s="202">
        <f>(+E102-G102)/G102</f>
        <v>0.06134969325153374</v>
      </c>
      <c r="J102" s="493"/>
      <c r="K102" s="493"/>
      <c r="L102" s="252">
        <f>+L96-L98-L99+L100-L101</f>
        <v>2019</v>
      </c>
      <c r="M102" s="190"/>
      <c r="N102" s="252">
        <f>+N96-N98+N100-N101</f>
        <v>1708</v>
      </c>
      <c r="O102" s="174"/>
      <c r="P102" s="202">
        <f>(+L102-N102)/N102</f>
        <v>0.18208430913348947</v>
      </c>
      <c r="Q102"/>
    </row>
    <row r="103" spans="10:17" ht="13.5" thickTop="1">
      <c r="J103"/>
      <c r="K103" s="201"/>
      <c r="L103" s="201"/>
      <c r="M103" s="201"/>
      <c r="N103" s="201"/>
      <c r="O103" s="330"/>
      <c r="P103"/>
      <c r="Q103"/>
    </row>
    <row r="104" spans="10:17" ht="12.75">
      <c r="J104"/>
      <c r="K104" s="250"/>
      <c r="L104" s="250"/>
      <c r="M104" s="250"/>
      <c r="N104" s="250"/>
      <c r="O104" s="330"/>
      <c r="P104"/>
      <c r="Q104"/>
    </row>
    <row r="105" spans="10:17" ht="12.75">
      <c r="J105"/>
      <c r="K105"/>
      <c r="L105"/>
      <c r="M105"/>
      <c r="N105"/>
      <c r="O105"/>
      <c r="P105"/>
      <c r="Q105"/>
    </row>
    <row r="106" spans="10:17" ht="12.75">
      <c r="J106"/>
      <c r="K106"/>
      <c r="L106"/>
      <c r="M106"/>
      <c r="N106"/>
      <c r="O106"/>
      <c r="P106"/>
      <c r="Q106"/>
    </row>
    <row r="107" spans="10:17" ht="12.75">
      <c r="J107"/>
      <c r="K107"/>
      <c r="L107"/>
      <c r="M107"/>
      <c r="N107"/>
      <c r="O107"/>
      <c r="P107"/>
      <c r="Q107"/>
    </row>
    <row r="108" spans="10:17" ht="12.75">
      <c r="J108"/>
      <c r="K108"/>
      <c r="L108"/>
      <c r="M108"/>
      <c r="N108"/>
      <c r="O108"/>
      <c r="P108"/>
      <c r="Q108"/>
    </row>
    <row r="109" spans="10:17" ht="12.75">
      <c r="J109"/>
      <c r="K109"/>
      <c r="L109"/>
      <c r="M109"/>
      <c r="N109"/>
      <c r="O109"/>
      <c r="P109"/>
      <c r="Q109"/>
    </row>
    <row r="110" spans="10:17" ht="12.75">
      <c r="J110"/>
      <c r="K110"/>
      <c r="L110"/>
      <c r="M110"/>
      <c r="N110"/>
      <c r="O110"/>
      <c r="P110"/>
      <c r="Q110"/>
    </row>
    <row r="111" spans="11:15" ht="12.75">
      <c r="K111"/>
      <c r="L111"/>
      <c r="M111"/>
      <c r="N111"/>
      <c r="O111"/>
    </row>
    <row r="112" spans="11:15" ht="12.75">
      <c r="K112"/>
      <c r="L112"/>
      <c r="M112"/>
      <c r="N112"/>
      <c r="O112"/>
    </row>
  </sheetData>
  <mergeCells count="15">
    <mergeCell ref="D75:H75"/>
    <mergeCell ref="C72:O72"/>
    <mergeCell ref="C71:O71"/>
    <mergeCell ref="C70:O70"/>
    <mergeCell ref="C73:O73"/>
    <mergeCell ref="K7:O7"/>
    <mergeCell ref="K75:O75"/>
    <mergeCell ref="E6:G6"/>
    <mergeCell ref="C1:P1"/>
    <mergeCell ref="C2:P2"/>
    <mergeCell ref="C3:P3"/>
    <mergeCell ref="C4:P4"/>
    <mergeCell ref="L6:N6"/>
    <mergeCell ref="D7:H7"/>
    <mergeCell ref="C50:M50"/>
  </mergeCells>
  <hyperlinks>
    <hyperlink ref="C49" location="'Reconciliation Non-GAAP'!Print_Area" display="(1) See page 23 Non-GAAP Financial Measures."/>
  </hyperlinks>
  <printOptions/>
  <pageMargins left="0.5" right="0.5" top="0.5" bottom="0.55" header="0.75" footer="0.3"/>
  <pageSetup fitToHeight="1" fitToWidth="1" horizontalDpi="600" verticalDpi="600" orientation="landscape" scale="98" r:id="rId2"/>
  <headerFooter alignWithMargins="0">
    <oddFooter>&amp;L&amp;A&amp;R&amp;"Arial,Regular"&amp;8Page 1</oddFooter>
  </headerFooter>
  <drawing r:id="rId1"/>
</worksheet>
</file>

<file path=xl/worksheets/sheet4.xml><?xml version="1.0" encoding="utf-8"?>
<worksheet xmlns="http://schemas.openxmlformats.org/spreadsheetml/2006/main" xmlns:r="http://schemas.openxmlformats.org/officeDocument/2006/relationships">
  <sheetPr codeName="Sheet171">
    <pageSetUpPr fitToPage="1"/>
  </sheetPr>
  <dimension ref="C1:Y118"/>
  <sheetViews>
    <sheetView workbookViewId="0" topLeftCell="A1">
      <selection activeCell="A1" sqref="A1"/>
    </sheetView>
  </sheetViews>
  <sheetFormatPr defaultColWidth="9.33203125" defaultRowHeight="12.75"/>
  <cols>
    <col min="1" max="1" width="1.83203125" style="1" customWidth="1"/>
    <col min="2" max="2" width="3.33203125" style="1" customWidth="1"/>
    <col min="3" max="3" width="49.66015625" style="1" customWidth="1"/>
    <col min="4" max="4" width="9.83203125" style="1" customWidth="1"/>
    <col min="5" max="5" width="2.33203125" style="1" customWidth="1"/>
    <col min="6" max="6" width="9.83203125" style="1" customWidth="1"/>
    <col min="7" max="7" width="2.33203125" style="7" customWidth="1"/>
    <col min="8" max="8" width="9.83203125" style="1" customWidth="1"/>
    <col min="9" max="9" width="2.33203125" style="7" customWidth="1"/>
    <col min="10" max="10" width="9.83203125" style="1" customWidth="1"/>
    <col min="11" max="11" width="2.33203125" style="7" customWidth="1"/>
    <col min="12" max="12" width="9.83203125" style="1" customWidth="1"/>
    <col min="13" max="13" width="2.33203125" style="7" customWidth="1"/>
    <col min="14" max="14" width="9.83203125" style="7" customWidth="1"/>
    <col min="15" max="15" width="2.33203125" style="7" customWidth="1"/>
    <col min="16" max="16" width="9.83203125" style="7" customWidth="1"/>
    <col min="17" max="17" width="2.33203125" style="7" customWidth="1"/>
    <col min="18" max="18" width="9.83203125" style="7" customWidth="1"/>
    <col min="19" max="19" width="2.33203125" style="7" customWidth="1"/>
    <col min="20" max="20" width="8.5" style="1" customWidth="1"/>
    <col min="21" max="21" width="15" style="1" customWidth="1"/>
    <col min="22" max="22" width="6" style="1" customWidth="1"/>
    <col min="23" max="16384" width="9" style="1" customWidth="1"/>
  </cols>
  <sheetData>
    <row r="1" spans="3:22" ht="12.75">
      <c r="C1" s="626" t="s">
        <v>89</v>
      </c>
      <c r="D1" s="626"/>
      <c r="E1" s="626"/>
      <c r="F1" s="626"/>
      <c r="G1" s="626"/>
      <c r="H1" s="626"/>
      <c r="I1" s="626"/>
      <c r="J1" s="626"/>
      <c r="K1" s="626"/>
      <c r="L1" s="626"/>
      <c r="M1" s="626"/>
      <c r="N1" s="626"/>
      <c r="O1" s="626"/>
      <c r="P1" s="626"/>
      <c r="Q1" s="626"/>
      <c r="R1" s="626"/>
      <c r="S1" s="626"/>
      <c r="T1" s="341"/>
      <c r="U1" s="341"/>
      <c r="V1" s="341"/>
    </row>
    <row r="2" spans="3:22" ht="12.75" customHeight="1">
      <c r="C2" s="627" t="s">
        <v>222</v>
      </c>
      <c r="D2" s="627"/>
      <c r="E2" s="627"/>
      <c r="F2" s="627"/>
      <c r="G2" s="627"/>
      <c r="H2" s="627"/>
      <c r="I2" s="627"/>
      <c r="J2" s="627"/>
      <c r="K2" s="627"/>
      <c r="L2" s="627"/>
      <c r="M2" s="627"/>
      <c r="N2" s="627"/>
      <c r="O2" s="627"/>
      <c r="P2" s="627"/>
      <c r="Q2" s="627"/>
      <c r="R2" s="627"/>
      <c r="S2" s="627"/>
      <c r="T2" s="54"/>
      <c r="U2" s="54"/>
      <c r="V2" s="54"/>
    </row>
    <row r="3" spans="3:20" ht="12.75" customHeight="1">
      <c r="C3" s="602" t="s">
        <v>147</v>
      </c>
      <c r="D3" s="602"/>
      <c r="E3" s="602"/>
      <c r="F3" s="602"/>
      <c r="G3" s="602"/>
      <c r="H3" s="602"/>
      <c r="I3" s="602"/>
      <c r="J3" s="602"/>
      <c r="K3" s="602"/>
      <c r="L3" s="602"/>
      <c r="M3" s="602"/>
      <c r="N3" s="602"/>
      <c r="O3" s="602"/>
      <c r="P3" s="602"/>
      <c r="Q3" s="602"/>
      <c r="R3" s="602"/>
      <c r="S3" s="602"/>
      <c r="T3" s="342"/>
    </row>
    <row r="4" spans="3:20" ht="12.75" customHeight="1">
      <c r="C4" s="602" t="s">
        <v>163</v>
      </c>
      <c r="D4" s="602"/>
      <c r="E4" s="602"/>
      <c r="F4" s="602"/>
      <c r="G4" s="602"/>
      <c r="H4" s="602"/>
      <c r="I4" s="602"/>
      <c r="J4" s="602"/>
      <c r="K4" s="602"/>
      <c r="L4" s="602"/>
      <c r="M4" s="602"/>
      <c r="N4" s="602"/>
      <c r="O4" s="602"/>
      <c r="P4" s="602"/>
      <c r="Q4" s="602"/>
      <c r="R4" s="602"/>
      <c r="S4" s="602"/>
      <c r="T4" s="342"/>
    </row>
    <row r="5" spans="3:20" ht="11.25" customHeight="1">
      <c r="C5" s="501"/>
      <c r="D5" s="295"/>
      <c r="E5" s="3"/>
      <c r="F5" s="2"/>
      <c r="G5" s="5"/>
      <c r="H5" s="253"/>
      <c r="I5" s="405"/>
      <c r="J5" s="253"/>
      <c r="K5" s="405"/>
      <c r="L5" s="253"/>
      <c r="M5" s="405"/>
      <c r="N5" s="253" t="s">
        <v>255</v>
      </c>
      <c r="O5" s="405"/>
      <c r="P5" s="253" t="s">
        <v>255</v>
      </c>
      <c r="Q5" s="405"/>
      <c r="R5" s="253" t="s">
        <v>17</v>
      </c>
      <c r="S5" s="405"/>
      <c r="T5" s="2"/>
    </row>
    <row r="6" spans="3:20" ht="12.75">
      <c r="C6" s="3" t="s">
        <v>164</v>
      </c>
      <c r="D6" s="4" t="s">
        <v>441</v>
      </c>
      <c r="E6" s="3"/>
      <c r="F6" s="4" t="s">
        <v>418</v>
      </c>
      <c r="G6" s="3"/>
      <c r="H6" s="4" t="s">
        <v>372</v>
      </c>
      <c r="I6" s="3"/>
      <c r="J6" s="4" t="s">
        <v>358</v>
      </c>
      <c r="K6" s="5"/>
      <c r="L6" s="4" t="s">
        <v>351</v>
      </c>
      <c r="N6" s="6">
        <v>2007</v>
      </c>
      <c r="P6" s="6">
        <v>2006</v>
      </c>
      <c r="R6" s="6">
        <v>2006</v>
      </c>
      <c r="T6" s="121"/>
    </row>
    <row r="7" spans="3:18" ht="12.75" customHeight="1">
      <c r="C7" s="1" t="s">
        <v>368</v>
      </c>
      <c r="F7" s="2"/>
      <c r="H7" s="2"/>
      <c r="J7" s="2"/>
      <c r="L7" s="2"/>
      <c r="N7" s="166"/>
      <c r="P7" s="166"/>
      <c r="R7" s="166"/>
    </row>
    <row r="8" spans="3:19" ht="11.25">
      <c r="C8" s="1" t="s">
        <v>124</v>
      </c>
      <c r="D8" s="31">
        <f>'Segment  2007 Qtr'!M10</f>
        <v>4363</v>
      </c>
      <c r="F8" s="31">
        <v>4545</v>
      </c>
      <c r="G8" s="32"/>
      <c r="H8" s="31">
        <v>4406</v>
      </c>
      <c r="I8" s="32"/>
      <c r="J8" s="31">
        <v>3932</v>
      </c>
      <c r="K8" s="75"/>
      <c r="L8" s="31">
        <v>4228</v>
      </c>
      <c r="M8" s="75"/>
      <c r="N8" s="31">
        <f aca="true" t="shared" si="0" ref="N8:N13">+H8+F8+D8</f>
        <v>13314</v>
      </c>
      <c r="O8" s="75"/>
      <c r="P8" s="31">
        <v>13195</v>
      </c>
      <c r="Q8" s="75"/>
      <c r="R8" s="31">
        <v>17127</v>
      </c>
      <c r="S8" s="75"/>
    </row>
    <row r="9" spans="3:19" ht="11.25">
      <c r="C9" s="1" t="s">
        <v>125</v>
      </c>
      <c r="D9" s="63">
        <f>'Segment  2007 Qtr'!M11</f>
        <v>2705</v>
      </c>
      <c r="F9" s="63">
        <v>2995</v>
      </c>
      <c r="G9" s="38"/>
      <c r="H9" s="63">
        <v>3182</v>
      </c>
      <c r="I9" s="38"/>
      <c r="J9" s="63">
        <v>2786</v>
      </c>
      <c r="K9" s="75"/>
      <c r="L9" s="63">
        <v>2721</v>
      </c>
      <c r="M9" s="75"/>
      <c r="N9" s="63">
        <f t="shared" si="0"/>
        <v>8882</v>
      </c>
      <c r="O9" s="75"/>
      <c r="P9" s="63">
        <v>8970</v>
      </c>
      <c r="Q9" s="75"/>
      <c r="R9" s="63">
        <v>11756</v>
      </c>
      <c r="S9" s="75"/>
    </row>
    <row r="10" spans="3:19" ht="11.25">
      <c r="C10" s="1" t="s">
        <v>126</v>
      </c>
      <c r="D10" s="63">
        <f>'Segment  2007 Qtr'!M12</f>
        <v>3055</v>
      </c>
      <c r="F10" s="63">
        <v>2921</v>
      </c>
      <c r="G10" s="38"/>
      <c r="H10" s="63">
        <v>2994</v>
      </c>
      <c r="I10" s="38"/>
      <c r="J10" s="63">
        <v>2948</v>
      </c>
      <c r="K10" s="75"/>
      <c r="L10" s="63">
        <v>3019</v>
      </c>
      <c r="M10" s="75"/>
      <c r="N10" s="63">
        <f t="shared" si="0"/>
        <v>8970</v>
      </c>
      <c r="O10" s="75"/>
      <c r="P10" s="63">
        <v>8603</v>
      </c>
      <c r="Q10" s="75"/>
      <c r="R10" s="63">
        <v>11551</v>
      </c>
      <c r="S10" s="75"/>
    </row>
    <row r="11" spans="3:19" ht="11.25">
      <c r="C11" s="171" t="s">
        <v>119</v>
      </c>
      <c r="D11" s="63">
        <f>'Segment  2007 Qtr'!M13</f>
        <v>1910</v>
      </c>
      <c r="E11" s="171"/>
      <c r="F11" s="63">
        <v>1793</v>
      </c>
      <c r="G11" s="38"/>
      <c r="H11" s="63">
        <v>1860</v>
      </c>
      <c r="I11" s="38"/>
      <c r="J11" s="63">
        <v>1824</v>
      </c>
      <c r="K11" s="75"/>
      <c r="L11" s="63">
        <v>1818</v>
      </c>
      <c r="M11" s="75"/>
      <c r="N11" s="63">
        <f t="shared" si="0"/>
        <v>5563</v>
      </c>
      <c r="O11" s="75"/>
      <c r="P11" s="63">
        <v>5246</v>
      </c>
      <c r="Q11" s="75"/>
      <c r="R11" s="63">
        <v>7070</v>
      </c>
      <c r="S11" s="75"/>
    </row>
    <row r="12" spans="3:19" ht="11.25">
      <c r="C12" s="171" t="s">
        <v>129</v>
      </c>
      <c r="D12" s="63">
        <f>'Segment  2007 Qtr'!M15</f>
        <v>450</v>
      </c>
      <c r="E12" s="171"/>
      <c r="F12" s="63">
        <v>422</v>
      </c>
      <c r="G12" s="38"/>
      <c r="H12" s="63">
        <v>406</v>
      </c>
      <c r="I12" s="38"/>
      <c r="J12" s="63">
        <v>424</v>
      </c>
      <c r="K12" s="75"/>
      <c r="L12" s="63">
        <v>430</v>
      </c>
      <c r="M12" s="75"/>
      <c r="N12" s="63">
        <f t="shared" si="0"/>
        <v>1278</v>
      </c>
      <c r="O12" s="75"/>
      <c r="P12" s="63">
        <v>1265</v>
      </c>
      <c r="Q12" s="75"/>
      <c r="R12" s="63">
        <v>1689</v>
      </c>
      <c r="S12" s="75"/>
    </row>
    <row r="13" spans="3:20" ht="11.25">
      <c r="C13" s="171" t="s">
        <v>127</v>
      </c>
      <c r="D13" s="63">
        <f>'Segment  2007 Qtr'!M16</f>
        <v>345</v>
      </c>
      <c r="E13" s="171"/>
      <c r="F13" s="63">
        <v>344</v>
      </c>
      <c r="G13" s="38"/>
      <c r="H13" s="63">
        <v>344</v>
      </c>
      <c r="I13" s="38"/>
      <c r="J13" s="63">
        <v>353</v>
      </c>
      <c r="K13" s="75"/>
      <c r="L13" s="63">
        <v>345</v>
      </c>
      <c r="M13" s="75"/>
      <c r="N13" s="63">
        <f t="shared" si="0"/>
        <v>1033</v>
      </c>
      <c r="O13" s="75"/>
      <c r="P13" s="63">
        <v>1068</v>
      </c>
      <c r="Q13" s="75"/>
      <c r="R13" s="63">
        <v>1421</v>
      </c>
      <c r="S13" s="75"/>
      <c r="T13" s="271"/>
    </row>
    <row r="14" spans="3:20" ht="11.25">
      <c r="C14" s="171" t="s">
        <v>403</v>
      </c>
      <c r="D14" s="404">
        <f>+D10-D11-D12-D13</f>
        <v>350</v>
      </c>
      <c r="E14" s="171"/>
      <c r="F14" s="404">
        <f>+F10-F11-F12-F13</f>
        <v>362</v>
      </c>
      <c r="G14" s="212"/>
      <c r="H14" s="404">
        <f>+H10-H11-H12-H13</f>
        <v>384</v>
      </c>
      <c r="I14" s="212"/>
      <c r="J14" s="404">
        <f>+J10-J11-J12-J13</f>
        <v>347</v>
      </c>
      <c r="K14" s="75"/>
      <c r="L14" s="404">
        <f>+L10-L11-L12-L13</f>
        <v>426</v>
      </c>
      <c r="M14" s="248"/>
      <c r="N14" s="404">
        <f>+N10-N11-N12-N13</f>
        <v>1096</v>
      </c>
      <c r="O14" s="248"/>
      <c r="P14" s="404">
        <f>+P10-P11-P12-P13</f>
        <v>1024</v>
      </c>
      <c r="Q14" s="248"/>
      <c r="R14" s="404">
        <f>+R10-R11-R12-R13</f>
        <v>1371</v>
      </c>
      <c r="S14" s="248"/>
      <c r="T14" s="271"/>
    </row>
    <row r="15" spans="3:21" ht="5.25" customHeight="1">
      <c r="C15" s="171"/>
      <c r="D15" s="367"/>
      <c r="E15" s="171"/>
      <c r="F15" s="367"/>
      <c r="G15" s="265"/>
      <c r="H15" s="367"/>
      <c r="I15" s="265"/>
      <c r="J15" s="367"/>
      <c r="K15" s="75"/>
      <c r="L15" s="367"/>
      <c r="M15" s="75"/>
      <c r="N15" s="367"/>
      <c r="O15" s="75"/>
      <c r="P15" s="367"/>
      <c r="Q15" s="75"/>
      <c r="R15" s="367"/>
      <c r="S15" s="75"/>
      <c r="T15" s="271"/>
      <c r="U15" s="8"/>
    </row>
    <row r="16" spans="3:21" ht="11.25">
      <c r="C16" s="171" t="s">
        <v>294</v>
      </c>
      <c r="D16" s="223">
        <f>+'Segment  2007 Qtr'!O17</f>
        <v>30</v>
      </c>
      <c r="E16" s="171"/>
      <c r="F16" s="223">
        <v>30</v>
      </c>
      <c r="G16" s="201"/>
      <c r="H16" s="223">
        <v>29</v>
      </c>
      <c r="I16" s="201"/>
      <c r="J16" s="223">
        <v>25</v>
      </c>
      <c r="K16" s="75"/>
      <c r="L16" s="223">
        <v>25</v>
      </c>
      <c r="M16" s="75"/>
      <c r="N16" s="63">
        <f aca="true" t="shared" si="1" ref="N16:N22">+H16+F16+D16</f>
        <v>89</v>
      </c>
      <c r="O16" s="75"/>
      <c r="P16" s="63">
        <v>65</v>
      </c>
      <c r="Q16" s="75"/>
      <c r="R16" s="63">
        <v>90</v>
      </c>
      <c r="S16" s="75"/>
      <c r="T16" s="271"/>
      <c r="U16" s="8"/>
    </row>
    <row r="17" spans="3:21" ht="11.25">
      <c r="C17" s="171" t="s">
        <v>7</v>
      </c>
      <c r="D17" s="223">
        <f>+'Segment  2007 Qtr'!Q19</f>
        <v>492</v>
      </c>
      <c r="E17" s="171"/>
      <c r="F17" s="223">
        <v>471</v>
      </c>
      <c r="G17" s="217"/>
      <c r="H17" s="223">
        <v>451</v>
      </c>
      <c r="I17" s="217"/>
      <c r="J17" s="223">
        <v>428</v>
      </c>
      <c r="K17" s="75"/>
      <c r="L17" s="223">
        <v>414</v>
      </c>
      <c r="M17" s="75"/>
      <c r="N17" s="63">
        <f t="shared" si="1"/>
        <v>1414</v>
      </c>
      <c r="O17" s="75"/>
      <c r="P17" s="63">
        <v>1173</v>
      </c>
      <c r="Q17" s="75"/>
      <c r="R17" s="63">
        <v>1601</v>
      </c>
      <c r="S17" s="75"/>
      <c r="T17" s="271"/>
      <c r="U17" s="8"/>
    </row>
    <row r="18" spans="3:21" ht="11.25" customHeight="1">
      <c r="C18" s="172" t="s">
        <v>166</v>
      </c>
      <c r="D18" s="223">
        <f>+'Segment  2007 Qtr'!Q26</f>
        <v>0</v>
      </c>
      <c r="E18" s="172"/>
      <c r="F18" s="223">
        <v>-11</v>
      </c>
      <c r="G18" s="201"/>
      <c r="H18" s="223">
        <v>16</v>
      </c>
      <c r="I18" s="201"/>
      <c r="J18" s="223">
        <v>15</v>
      </c>
      <c r="K18" s="75"/>
      <c r="L18" s="223">
        <v>-113</v>
      </c>
      <c r="M18" s="75"/>
      <c r="N18" s="63">
        <f t="shared" si="1"/>
        <v>5</v>
      </c>
      <c r="O18" s="75"/>
      <c r="P18" s="63">
        <v>-113</v>
      </c>
      <c r="Q18" s="75"/>
      <c r="R18" s="63">
        <v>-98</v>
      </c>
      <c r="S18" s="75"/>
      <c r="T18" s="271"/>
      <c r="U18" s="8"/>
    </row>
    <row r="19" spans="3:21" ht="11.25" customHeight="1">
      <c r="C19" s="171" t="s">
        <v>139</v>
      </c>
      <c r="D19" s="223">
        <f>+'Segment  2007 Qtr'!Q21</f>
        <v>44</v>
      </c>
      <c r="E19" s="171"/>
      <c r="F19" s="223">
        <v>42</v>
      </c>
      <c r="G19" s="217"/>
      <c r="H19" s="223">
        <v>46</v>
      </c>
      <c r="I19" s="217"/>
      <c r="J19" s="223">
        <v>42</v>
      </c>
      <c r="K19" s="75"/>
      <c r="L19" s="223">
        <v>46</v>
      </c>
      <c r="M19" s="75"/>
      <c r="N19" s="63">
        <f t="shared" si="1"/>
        <v>132</v>
      </c>
      <c r="O19" s="75"/>
      <c r="P19" s="63">
        <v>134</v>
      </c>
      <c r="Q19" s="75"/>
      <c r="R19" s="63">
        <v>176</v>
      </c>
      <c r="S19" s="75"/>
      <c r="T19" s="271"/>
      <c r="U19" s="8"/>
    </row>
    <row r="20" spans="3:21" ht="11.25">
      <c r="C20" s="1" t="s">
        <v>528</v>
      </c>
      <c r="D20" s="223">
        <f>+'Segment  2007 Qtr'!Q22</f>
        <v>32</v>
      </c>
      <c r="F20" s="223">
        <v>-4</v>
      </c>
      <c r="G20" s="217"/>
      <c r="H20" s="223">
        <v>4</v>
      </c>
      <c r="I20" s="217"/>
      <c r="J20" s="223">
        <v>-16</v>
      </c>
      <c r="K20" s="75"/>
      <c r="L20" s="223">
        <v>-2</v>
      </c>
      <c r="M20" s="75"/>
      <c r="N20" s="63">
        <f t="shared" si="1"/>
        <v>32</v>
      </c>
      <c r="O20" s="75"/>
      <c r="P20" s="63">
        <v>-19</v>
      </c>
      <c r="Q20" s="75"/>
      <c r="R20" s="63">
        <v>-35</v>
      </c>
      <c r="S20" s="75"/>
      <c r="T20" s="271"/>
      <c r="U20" s="8"/>
    </row>
    <row r="21" spans="3:21" ht="11.25">
      <c r="C21" s="171" t="s">
        <v>151</v>
      </c>
      <c r="D21" s="217">
        <f>+'Segment  2007 Qtr'!Q23</f>
        <v>140</v>
      </c>
      <c r="E21" s="180"/>
      <c r="F21" s="217">
        <v>165</v>
      </c>
      <c r="G21" s="217"/>
      <c r="H21" s="217">
        <v>129</v>
      </c>
      <c r="I21" s="217"/>
      <c r="J21" s="217">
        <v>124</v>
      </c>
      <c r="K21" s="75"/>
      <c r="L21" s="217">
        <v>130</v>
      </c>
      <c r="M21" s="75"/>
      <c r="N21" s="63">
        <f t="shared" si="1"/>
        <v>434</v>
      </c>
      <c r="O21" s="75"/>
      <c r="P21" s="63">
        <v>398</v>
      </c>
      <c r="Q21" s="75"/>
      <c r="R21" s="63">
        <v>522</v>
      </c>
      <c r="S21" s="75"/>
      <c r="T21" s="271"/>
      <c r="U21" s="8"/>
    </row>
    <row r="22" spans="3:21" ht="11.25" customHeight="1">
      <c r="C22" s="200" t="s">
        <v>336</v>
      </c>
      <c r="D22" s="600">
        <v>0</v>
      </c>
      <c r="E22" s="171"/>
      <c r="F22" s="600">
        <v>0</v>
      </c>
      <c r="G22" s="217"/>
      <c r="H22" s="600">
        <v>0</v>
      </c>
      <c r="I22" s="217"/>
      <c r="J22" s="600">
        <v>0</v>
      </c>
      <c r="K22" s="75"/>
      <c r="L22" s="600">
        <v>0</v>
      </c>
      <c r="M22" s="75"/>
      <c r="N22" s="600">
        <f t="shared" si="1"/>
        <v>0</v>
      </c>
      <c r="O22" s="75"/>
      <c r="P22" s="227">
        <v>4</v>
      </c>
      <c r="Q22" s="75"/>
      <c r="R22" s="227">
        <v>4</v>
      </c>
      <c r="S22" s="75"/>
      <c r="T22" s="271"/>
      <c r="U22" s="8"/>
    </row>
    <row r="23" spans="3:21" ht="13.5" customHeight="1">
      <c r="C23" s="171" t="s">
        <v>363</v>
      </c>
      <c r="D23" s="212">
        <f>+D14+D16+D17-D20+D18-D19-D21+D22</f>
        <v>656</v>
      </c>
      <c r="E23" s="171"/>
      <c r="F23" s="212">
        <f>+F14+F16+F17-F20+F18-F19-F21+F22</f>
        <v>649</v>
      </c>
      <c r="G23" s="212"/>
      <c r="H23" s="212">
        <f>+H14+H16+H17-H20+H18-H19-H21+H22</f>
        <v>701</v>
      </c>
      <c r="I23" s="212"/>
      <c r="J23" s="212">
        <f>+J14+J16+J17-J20+J18-J19-J21+J22</f>
        <v>665</v>
      </c>
      <c r="K23" s="75"/>
      <c r="L23" s="212">
        <f>+L14+L16+L17-L20+L18-L19-L21+L22</f>
        <v>578</v>
      </c>
      <c r="M23" s="248"/>
      <c r="N23" s="212">
        <f>+N14+N16+N17-N20+N18-N19-N21+N22</f>
        <v>2006</v>
      </c>
      <c r="O23" s="248"/>
      <c r="P23" s="212">
        <f>+P14+P16+P17-P20+P18-P19-P21+P22</f>
        <v>1640</v>
      </c>
      <c r="Q23" s="248"/>
      <c r="R23" s="212">
        <f>+R14+R16+R17-R20+R18-R19-R21+R22</f>
        <v>2305</v>
      </c>
      <c r="S23" s="248"/>
      <c r="T23" s="271"/>
      <c r="U23" s="8"/>
    </row>
    <row r="24" spans="3:21" ht="6.75" customHeight="1">
      <c r="C24" s="171"/>
      <c r="D24" s="349"/>
      <c r="E24" s="171"/>
      <c r="F24" s="256"/>
      <c r="G24" s="212"/>
      <c r="H24" s="256"/>
      <c r="I24" s="212"/>
      <c r="J24" s="256"/>
      <c r="K24" s="75"/>
      <c r="L24" s="256"/>
      <c r="M24" s="212"/>
      <c r="N24" s="256"/>
      <c r="O24" s="212"/>
      <c r="P24" s="256"/>
      <c r="Q24" s="212"/>
      <c r="R24" s="256"/>
      <c r="S24" s="212"/>
      <c r="T24" s="271"/>
      <c r="U24" s="8"/>
    </row>
    <row r="25" spans="3:21" ht="11.25" customHeight="1">
      <c r="C25" s="172" t="s">
        <v>166</v>
      </c>
      <c r="D25" s="349">
        <f>+'Segment  2007 Qtr'!Q26</f>
        <v>0</v>
      </c>
      <c r="E25" s="172"/>
      <c r="F25" s="223">
        <v>-11</v>
      </c>
      <c r="G25" s="201"/>
      <c r="H25" s="223">
        <v>16</v>
      </c>
      <c r="I25" s="201"/>
      <c r="J25" s="349">
        <v>15</v>
      </c>
      <c r="K25" s="419"/>
      <c r="L25" s="349">
        <v>-113</v>
      </c>
      <c r="M25" s="419"/>
      <c r="N25" s="63">
        <f>+H25+F25+D25</f>
        <v>5</v>
      </c>
      <c r="O25" s="75"/>
      <c r="P25" s="63">
        <v>-113</v>
      </c>
      <c r="Q25" s="419"/>
      <c r="R25" s="63">
        <v>-98</v>
      </c>
      <c r="S25" s="419"/>
      <c r="T25" s="271"/>
      <c r="U25" s="8"/>
    </row>
    <row r="26" spans="3:21" ht="11.25" customHeight="1">
      <c r="C26" s="171" t="s">
        <v>514</v>
      </c>
      <c r="D26" s="223">
        <f>+'Segment  2007 Qtr'!Q27</f>
        <v>-38</v>
      </c>
      <c r="E26" s="172"/>
      <c r="F26" s="349">
        <v>0</v>
      </c>
      <c r="G26" s="201"/>
      <c r="H26" s="349">
        <v>0</v>
      </c>
      <c r="I26" s="201"/>
      <c r="J26" s="349">
        <v>0</v>
      </c>
      <c r="K26" s="419"/>
      <c r="L26" s="349">
        <v>0</v>
      </c>
      <c r="M26" s="419"/>
      <c r="N26" s="63">
        <f>+H26+F26+D26</f>
        <v>-38</v>
      </c>
      <c r="O26" s="75"/>
      <c r="P26" s="349">
        <v>0</v>
      </c>
      <c r="Q26" s="419"/>
      <c r="R26" s="349">
        <v>0</v>
      </c>
      <c r="S26" s="419"/>
      <c r="T26" s="271"/>
      <c r="U26" s="8"/>
    </row>
    <row r="27" spans="3:21" ht="11.25">
      <c r="C27" s="172" t="s">
        <v>246</v>
      </c>
      <c r="D27" s="217">
        <f>'Segment  2007 Qtr'!Q28</f>
        <v>-2</v>
      </c>
      <c r="E27" s="172"/>
      <c r="F27" s="217">
        <v>4</v>
      </c>
      <c r="G27" s="201"/>
      <c r="H27" s="217">
        <v>-22</v>
      </c>
      <c r="I27" s="201"/>
      <c r="J27" s="349">
        <v>-7</v>
      </c>
      <c r="K27" s="419"/>
      <c r="L27" s="349">
        <v>-39</v>
      </c>
      <c r="M27" s="419"/>
      <c r="N27" s="63">
        <f>+H27+F27+D27</f>
        <v>-20</v>
      </c>
      <c r="O27" s="75"/>
      <c r="P27" s="63">
        <v>-41</v>
      </c>
      <c r="Q27" s="419"/>
      <c r="R27" s="63">
        <v>-48</v>
      </c>
      <c r="S27" s="419"/>
      <c r="T27" s="271"/>
      <c r="U27" s="8"/>
    </row>
    <row r="28" spans="3:21" ht="13.5" customHeight="1">
      <c r="C28" s="579" t="s">
        <v>336</v>
      </c>
      <c r="D28" s="349">
        <v>0</v>
      </c>
      <c r="E28" s="172"/>
      <c r="F28" s="349">
        <v>0</v>
      </c>
      <c r="G28" s="201"/>
      <c r="H28" s="349">
        <v>0</v>
      </c>
      <c r="I28" s="201"/>
      <c r="J28" s="349">
        <v>0</v>
      </c>
      <c r="K28" s="419"/>
      <c r="L28" s="349">
        <v>0</v>
      </c>
      <c r="M28" s="419"/>
      <c r="N28" s="63">
        <f>+H28+F28+D28</f>
        <v>0</v>
      </c>
      <c r="O28" s="75"/>
      <c r="P28" s="63">
        <v>4</v>
      </c>
      <c r="Q28" s="419"/>
      <c r="R28" s="63">
        <v>4</v>
      </c>
      <c r="S28" s="419"/>
      <c r="T28" s="271"/>
      <c r="U28" s="8"/>
    </row>
    <row r="29" spans="3:21" ht="23.25" customHeight="1" thickBot="1">
      <c r="C29" s="200" t="s">
        <v>364</v>
      </c>
      <c r="D29" s="211">
        <f>+D23-D25-D26+D27-D28</f>
        <v>692</v>
      </c>
      <c r="E29" s="171"/>
      <c r="F29" s="211">
        <f>+F23-F25-F26+F27-F28</f>
        <v>664</v>
      </c>
      <c r="G29" s="212"/>
      <c r="H29" s="211">
        <f>+H23-H25-H26+H27-H28</f>
        <v>663</v>
      </c>
      <c r="I29" s="212"/>
      <c r="J29" s="211">
        <f>+J23-J25-J26+J27-J28</f>
        <v>643</v>
      </c>
      <c r="K29" s="75"/>
      <c r="L29" s="211">
        <f>+L23-L25-L26+L27-L28</f>
        <v>652</v>
      </c>
      <c r="M29" s="248"/>
      <c r="N29" s="211">
        <f>+N23-N25-N26+N27-N28</f>
        <v>2019</v>
      </c>
      <c r="O29" s="248"/>
      <c r="P29" s="211">
        <f>+P23-P25-P26+P27-P28</f>
        <v>1708</v>
      </c>
      <c r="Q29" s="248"/>
      <c r="R29" s="211">
        <f>+R23-R25-R26+R27-R28</f>
        <v>2351</v>
      </c>
      <c r="S29" s="248"/>
      <c r="T29" s="271"/>
      <c r="U29" s="8"/>
    </row>
    <row r="30" spans="3:20" ht="7.5" customHeight="1" thickTop="1">
      <c r="C30" s="184"/>
      <c r="D30" s="184"/>
      <c r="E30" s="184"/>
      <c r="G30" s="208"/>
      <c r="I30" s="208"/>
      <c r="J30" s="208"/>
      <c r="L30" s="208"/>
      <c r="M30" s="208"/>
      <c r="N30" s="208"/>
      <c r="O30" s="208"/>
      <c r="P30" s="208"/>
      <c r="Q30" s="208"/>
      <c r="R30" s="208"/>
      <c r="S30" s="208"/>
      <c r="T30" s="208"/>
    </row>
    <row r="31" spans="3:22" ht="12.75" customHeight="1">
      <c r="C31" s="14" t="s">
        <v>324</v>
      </c>
      <c r="D31" s="530"/>
      <c r="E31" s="530"/>
      <c r="F31" s="528"/>
      <c r="G31" s="529"/>
      <c r="H31" s="528"/>
      <c r="I31" s="529"/>
      <c r="J31" s="528"/>
      <c r="K31" s="529"/>
      <c r="L31" s="528"/>
      <c r="M31" s="529"/>
      <c r="N31" s="528"/>
      <c r="O31" s="529"/>
      <c r="P31" s="565"/>
      <c r="Q31" s="529"/>
      <c r="R31" s="528"/>
      <c r="S31" s="529"/>
      <c r="T31" s="203"/>
      <c r="U31" s="171"/>
      <c r="V31" s="171"/>
    </row>
    <row r="32" spans="3:22" ht="12.75">
      <c r="C32" s="1" t="s">
        <v>296</v>
      </c>
      <c r="D32" s="209">
        <f>(D9/L9)-1</f>
        <v>-0.0058801911062109635</v>
      </c>
      <c r="F32" s="515">
        <v>0</v>
      </c>
      <c r="G32" s="327"/>
      <c r="H32" s="515">
        <v>-0.020621729763004026</v>
      </c>
      <c r="I32" s="327"/>
      <c r="J32" s="209">
        <v>0.08785630613041784</v>
      </c>
      <c r="K32" s="75"/>
      <c r="L32" s="209">
        <v>-0.03783592644978784</v>
      </c>
      <c r="M32" s="75"/>
      <c r="N32" s="209">
        <f>(N9/P9)-1</f>
        <v>-0.00981047937569679</v>
      </c>
      <c r="O32" s="75"/>
      <c r="P32" s="175">
        <v>0</v>
      </c>
      <c r="Q32" s="75"/>
      <c r="R32" s="175">
        <v>0.018364518364518467</v>
      </c>
      <c r="S32" s="75"/>
      <c r="T32" s="209"/>
      <c r="U32"/>
      <c r="V32" s="171"/>
    </row>
    <row r="33" spans="3:22" ht="12.75">
      <c r="C33" s="1" t="s">
        <v>297</v>
      </c>
      <c r="D33" s="209">
        <f>(D10/L10)-1</f>
        <v>0.01192447830407417</v>
      </c>
      <c r="F33" s="209">
        <v>0.03</v>
      </c>
      <c r="G33" s="327"/>
      <c r="H33" s="209">
        <v>0.09110787172011658</v>
      </c>
      <c r="I33" s="327"/>
      <c r="J33" s="209">
        <v>0.055873925501432664</v>
      </c>
      <c r="K33" s="75"/>
      <c r="L33" s="209">
        <v>-0.0036303630363035966</v>
      </c>
      <c r="M33" s="75"/>
      <c r="N33" s="209">
        <f>(N10/P10)-1</f>
        <v>0.04265953737068462</v>
      </c>
      <c r="O33" s="75"/>
      <c r="P33" s="175">
        <v>-0.01</v>
      </c>
      <c r="Q33" s="75"/>
      <c r="R33" s="175">
        <v>0.004434782608695675</v>
      </c>
      <c r="S33" s="75"/>
      <c r="T33" s="209"/>
      <c r="U33"/>
      <c r="V33" s="178"/>
    </row>
    <row r="34" spans="3:22" ht="12.75">
      <c r="C34" s="14" t="s">
        <v>14</v>
      </c>
      <c r="E34" s="14"/>
      <c r="G34" s="328"/>
      <c r="I34" s="328"/>
      <c r="J34" s="178"/>
      <c r="L34" s="178"/>
      <c r="M34" s="329"/>
      <c r="N34" s="42"/>
      <c r="O34" s="329"/>
      <c r="P34" s="42"/>
      <c r="Q34" s="329"/>
      <c r="R34" s="42"/>
      <c r="S34" s="329"/>
      <c r="T34" s="207"/>
      <c r="U34"/>
      <c r="V34" s="178"/>
    </row>
    <row r="35" spans="3:25" ht="11.25">
      <c r="C35" s="1" t="s">
        <v>53</v>
      </c>
      <c r="D35" s="238">
        <f>+'Consolidated Results'!D9/'Consolidated Results'!D8</f>
        <v>0.6199862479944992</v>
      </c>
      <c r="F35" s="238">
        <v>0.658965896589659</v>
      </c>
      <c r="G35" s="238"/>
      <c r="H35" s="238">
        <v>0.7221970040853382</v>
      </c>
      <c r="I35" s="238"/>
      <c r="J35" s="238">
        <v>0.7085452695829094</v>
      </c>
      <c r="L35" s="238">
        <v>0.6435666982024598</v>
      </c>
      <c r="M35" s="525"/>
      <c r="N35" s="238">
        <f>+'Consolidated Results'!N9/'Consolidated Results'!N8</f>
        <v>0.6671173201141656</v>
      </c>
      <c r="O35" s="525"/>
      <c r="P35" s="238">
        <f>+'Consolidated Results'!P9/'Consolidated Results'!P8</f>
        <v>0.6798029556650246</v>
      </c>
      <c r="Q35" s="525"/>
      <c r="R35" s="525">
        <f>+'Consolidated Results'!R9/'Consolidated Results'!R8</f>
        <v>0.6864015881356922</v>
      </c>
      <c r="S35" s="525"/>
      <c r="T35" s="238"/>
      <c r="U35" s="238"/>
      <c r="V35" s="238"/>
      <c r="W35" s="9"/>
      <c r="Y35" s="9"/>
    </row>
    <row r="36" spans="3:25" ht="11.25">
      <c r="C36" s="1" t="s">
        <v>385</v>
      </c>
      <c r="D36" s="238"/>
      <c r="F36" s="238"/>
      <c r="G36" s="238"/>
      <c r="H36" s="238"/>
      <c r="I36" s="238"/>
      <c r="J36" s="238"/>
      <c r="L36" s="238"/>
      <c r="M36" s="525"/>
      <c r="N36" s="238"/>
      <c r="O36" s="525"/>
      <c r="P36" s="238"/>
      <c r="Q36" s="525"/>
      <c r="R36" s="525"/>
      <c r="S36" s="525"/>
      <c r="T36" s="238"/>
      <c r="U36" s="238"/>
      <c r="V36" s="238"/>
      <c r="W36" s="9"/>
      <c r="Y36" s="9"/>
    </row>
    <row r="37" spans="3:22" ht="11.25">
      <c r="C37" s="76" t="s">
        <v>386</v>
      </c>
      <c r="D37" s="175">
        <f>(+D21-D27)/(D29+(D21-D27))</f>
        <v>0.17026378896882494</v>
      </c>
      <c r="F37" s="175">
        <v>0.19515151515151516</v>
      </c>
      <c r="G37" s="327"/>
      <c r="H37" s="175">
        <v>0.1855036855036855</v>
      </c>
      <c r="I37" s="327"/>
      <c r="J37" s="175">
        <v>0.16925064599483206</v>
      </c>
      <c r="L37" s="175">
        <v>0.20584652862362973</v>
      </c>
      <c r="M37" s="330"/>
      <c r="N37" s="175">
        <f>(+N21-N27)/(N29+(N21-N27))</f>
        <v>0.18358269308532146</v>
      </c>
      <c r="O37" s="330"/>
      <c r="P37" s="175">
        <f>(+P21-P27)/(P29+(P21-P27))</f>
        <v>0.20447135537959943</v>
      </c>
      <c r="Q37" s="330"/>
      <c r="R37" s="175">
        <f>(+R21-R27)/(R29+(R21-R27))</f>
        <v>0.19513865114686751</v>
      </c>
      <c r="S37" s="330"/>
      <c r="T37" s="175"/>
      <c r="U37" s="209"/>
      <c r="V37" s="209"/>
    </row>
    <row r="38" spans="3:22" ht="11.25">
      <c r="C38" s="33" t="s">
        <v>316</v>
      </c>
      <c r="D38" s="368"/>
      <c r="E38" s="33"/>
      <c r="F38" s="368"/>
      <c r="G38" s="368"/>
      <c r="H38" s="368"/>
      <c r="I38" s="368"/>
      <c r="J38" s="429"/>
      <c r="K38" s="368"/>
      <c r="L38" s="429"/>
      <c r="M38" s="368"/>
      <c r="N38" s="42"/>
      <c r="O38" s="368"/>
      <c r="P38" s="42"/>
      <c r="Q38" s="368"/>
      <c r="R38" s="42"/>
      <c r="S38" s="368"/>
      <c r="T38" s="178"/>
      <c r="U38" s="178"/>
      <c r="V38" s="178"/>
    </row>
    <row r="39" spans="3:22" ht="11.25">
      <c r="C39" s="42" t="s">
        <v>167</v>
      </c>
      <c r="D39" s="16">
        <f>+'Segment  2007 Qtr'!M55</f>
        <v>0.625</v>
      </c>
      <c r="E39" s="42"/>
      <c r="F39" s="16">
        <v>0.614</v>
      </c>
      <c r="G39" s="17"/>
      <c r="H39" s="16">
        <v>0.621</v>
      </c>
      <c r="I39" s="17"/>
      <c r="J39" s="16">
        <v>0.618</v>
      </c>
      <c r="K39" s="17"/>
      <c r="L39" s="16">
        <v>0.602</v>
      </c>
      <c r="M39" s="17"/>
      <c r="N39" s="16">
        <f>+'Segment  2007 YTD'!Q59</f>
        <v>0.62</v>
      </c>
      <c r="O39" s="17"/>
      <c r="P39" s="16">
        <v>0.61</v>
      </c>
      <c r="Q39" s="17"/>
      <c r="R39" s="16">
        <v>0.612</v>
      </c>
      <c r="S39" s="17"/>
      <c r="T39" s="178"/>
      <c r="U39" s="178"/>
      <c r="V39" s="178"/>
    </row>
    <row r="40" spans="3:22" ht="11.25">
      <c r="C40" s="42" t="s">
        <v>168</v>
      </c>
      <c r="D40" s="16">
        <f>+'Segment  2007 Qtr'!M56</f>
        <v>0.147</v>
      </c>
      <c r="E40" s="42"/>
      <c r="F40" s="16">
        <v>0.145</v>
      </c>
      <c r="G40" s="17"/>
      <c r="H40" s="16">
        <v>0.135</v>
      </c>
      <c r="I40" s="17"/>
      <c r="J40" s="16">
        <v>0.144</v>
      </c>
      <c r="K40" s="17"/>
      <c r="L40" s="16">
        <v>0.142</v>
      </c>
      <c r="M40" s="17"/>
      <c r="N40" s="16">
        <f>+'Segment  2007 YTD'!Q60</f>
        <v>0.143</v>
      </c>
      <c r="O40" s="17"/>
      <c r="P40" s="16">
        <v>0.147</v>
      </c>
      <c r="Q40" s="17"/>
      <c r="R40" s="16">
        <v>0.146</v>
      </c>
      <c r="S40" s="17"/>
      <c r="T40" s="178"/>
      <c r="U40" s="178"/>
      <c r="V40" s="178"/>
    </row>
    <row r="41" spans="3:22" ht="11.25">
      <c r="C41" s="42" t="s">
        <v>169</v>
      </c>
      <c r="D41" s="16">
        <f>+'Segment  2007 Qtr'!M57</f>
        <v>0.113</v>
      </c>
      <c r="E41" s="42"/>
      <c r="F41" s="16">
        <v>0.117</v>
      </c>
      <c r="G41" s="523"/>
      <c r="H41" s="16">
        <v>0.115</v>
      </c>
      <c r="I41" s="523"/>
      <c r="J41" s="16">
        <v>0.12</v>
      </c>
      <c r="K41" s="524"/>
      <c r="L41" s="16">
        <v>0.114</v>
      </c>
      <c r="M41" s="17"/>
      <c r="N41" s="16">
        <f>+'Segment  2007 YTD'!Q61</f>
        <v>0.115</v>
      </c>
      <c r="O41" s="17"/>
      <c r="P41" s="16">
        <v>0.124</v>
      </c>
      <c r="Q41" s="17"/>
      <c r="R41" s="16">
        <v>0.123</v>
      </c>
      <c r="S41" s="17"/>
      <c r="T41" s="178"/>
      <c r="U41" s="178"/>
      <c r="V41" s="178"/>
    </row>
    <row r="42" spans="3:22" ht="12" thickBot="1">
      <c r="C42" s="354" t="s">
        <v>54</v>
      </c>
      <c r="D42" s="181">
        <f>SUM(D39:D41)</f>
        <v>0.885</v>
      </c>
      <c r="E42" s="354"/>
      <c r="F42" s="181">
        <f>SUM(F39:F41)</f>
        <v>0.876</v>
      </c>
      <c r="G42" s="331"/>
      <c r="H42" s="181">
        <f>SUM(H39:H41)</f>
        <v>0.871</v>
      </c>
      <c r="I42" s="331"/>
      <c r="J42" s="181">
        <f>SUM(J39:J41)</f>
        <v>0.882</v>
      </c>
      <c r="K42" s="331"/>
      <c r="L42" s="181">
        <f>SUM(L39:L41)</f>
        <v>0.858</v>
      </c>
      <c r="M42" s="331"/>
      <c r="N42" s="181">
        <f>SUM(N39:N41)</f>
        <v>0.878</v>
      </c>
      <c r="O42" s="331"/>
      <c r="P42" s="181">
        <f>SUM(P39:P41)</f>
        <v>0.881</v>
      </c>
      <c r="Q42" s="331"/>
      <c r="R42" s="181">
        <f>SUM(R39:R41)</f>
        <v>0.881</v>
      </c>
      <c r="S42" s="331"/>
      <c r="T42" s="178"/>
      <c r="U42" s="178"/>
      <c r="V42" s="178"/>
    </row>
    <row r="43" spans="3:22" ht="12" thickTop="1">
      <c r="C43" s="354"/>
      <c r="D43" s="331"/>
      <c r="E43" s="354"/>
      <c r="F43" s="331"/>
      <c r="G43" s="331"/>
      <c r="H43" s="331"/>
      <c r="I43" s="331"/>
      <c r="J43" s="331"/>
      <c r="K43" s="331"/>
      <c r="L43" s="331"/>
      <c r="M43" s="331"/>
      <c r="N43" s="331"/>
      <c r="O43" s="331"/>
      <c r="P43" s="331"/>
      <c r="Q43" s="331"/>
      <c r="R43" s="331"/>
      <c r="S43" s="331"/>
      <c r="T43" s="178"/>
      <c r="U43" s="178"/>
      <c r="V43" s="178"/>
    </row>
    <row r="44" spans="3:22" ht="11.25">
      <c r="C44" s="42" t="s">
        <v>515</v>
      </c>
      <c r="D44" s="250">
        <f>+'Line of Business '!E23</f>
        <v>418</v>
      </c>
      <c r="E44" s="354"/>
      <c r="F44" s="213">
        <v>420</v>
      </c>
      <c r="G44" s="213"/>
      <c r="H44" s="213">
        <v>394</v>
      </c>
      <c r="I44" s="213"/>
      <c r="J44" s="213">
        <v>378</v>
      </c>
      <c r="K44" s="213"/>
      <c r="L44" s="213">
        <v>356</v>
      </c>
      <c r="M44" s="331"/>
      <c r="N44" s="213">
        <f>+H44+F44+D44</f>
        <v>1232</v>
      </c>
      <c r="O44" s="75"/>
      <c r="P44" s="213">
        <v>1049</v>
      </c>
      <c r="Q44" s="75"/>
      <c r="R44" s="213">
        <v>1427</v>
      </c>
      <c r="S44" s="331"/>
      <c r="T44" s="178"/>
      <c r="U44" s="178"/>
      <c r="V44" s="178"/>
    </row>
    <row r="45" spans="3:22" ht="11.25">
      <c r="C45" s="42" t="s">
        <v>519</v>
      </c>
      <c r="D45" s="331">
        <f>+D41+D40</f>
        <v>0.26</v>
      </c>
      <c r="E45" s="354"/>
      <c r="F45" s="331">
        <f>+F40+F41</f>
        <v>0.262</v>
      </c>
      <c r="G45" s="331"/>
      <c r="H45" s="331">
        <f>+H40+H41</f>
        <v>0.25</v>
      </c>
      <c r="I45" s="331"/>
      <c r="J45" s="331">
        <f>+J40+J41</f>
        <v>0.264</v>
      </c>
      <c r="K45" s="331"/>
      <c r="L45" s="331">
        <f>+L40+L41</f>
        <v>0.256</v>
      </c>
      <c r="M45" s="331"/>
      <c r="N45" s="331">
        <f>+N40+N41</f>
        <v>0.258</v>
      </c>
      <c r="O45" s="331"/>
      <c r="P45" s="331">
        <f>+P40+P41</f>
        <v>0.271</v>
      </c>
      <c r="Q45" s="331"/>
      <c r="R45" s="331">
        <f>+R40+R41</f>
        <v>0.269</v>
      </c>
      <c r="S45" s="331"/>
      <c r="T45" s="178"/>
      <c r="U45" s="178"/>
      <c r="V45" s="178"/>
    </row>
    <row r="46" spans="3:22" ht="11.25">
      <c r="C46" s="42" t="s">
        <v>518</v>
      </c>
      <c r="D46" s="331">
        <v>0.228</v>
      </c>
      <c r="E46" s="354"/>
      <c r="F46" s="331">
        <v>0.236</v>
      </c>
      <c r="G46" s="331"/>
      <c r="H46" s="331">
        <v>0.219</v>
      </c>
      <c r="I46" s="331"/>
      <c r="J46" s="331">
        <v>0.238</v>
      </c>
      <c r="K46" s="331"/>
      <c r="L46" s="331">
        <v>0.232</v>
      </c>
      <c r="M46" s="331"/>
      <c r="N46" s="331">
        <v>0.227</v>
      </c>
      <c r="O46" s="331"/>
      <c r="P46" s="331">
        <v>0.249</v>
      </c>
      <c r="Q46" s="331"/>
      <c r="R46" s="331">
        <v>0.245</v>
      </c>
      <c r="S46" s="331"/>
      <c r="T46" s="178"/>
      <c r="U46" s="178"/>
      <c r="V46" s="178"/>
    </row>
    <row r="47" spans="3:22" ht="4.5" customHeight="1">
      <c r="C47" s="354"/>
      <c r="D47" s="331"/>
      <c r="E47" s="354"/>
      <c r="F47" s="331"/>
      <c r="G47" s="331"/>
      <c r="H47" s="331"/>
      <c r="I47" s="331"/>
      <c r="J47" s="331"/>
      <c r="K47" s="331"/>
      <c r="L47" s="331"/>
      <c r="M47" s="331"/>
      <c r="N47" s="331"/>
      <c r="O47" s="331"/>
      <c r="P47" s="331"/>
      <c r="Q47" s="331"/>
      <c r="R47" s="331"/>
      <c r="S47" s="331"/>
      <c r="T47" s="178"/>
      <c r="U47" s="178"/>
      <c r="V47" s="178"/>
    </row>
    <row r="48" spans="3:22" ht="12.75">
      <c r="C48" s="33" t="s">
        <v>317</v>
      </c>
      <c r="D48" s="14"/>
      <c r="E48" s="14"/>
      <c r="F48" s="380"/>
      <c r="G48" s="406"/>
      <c r="H48" s="380"/>
      <c r="I48" s="406"/>
      <c r="J48" s="380"/>
      <c r="K48" s="406"/>
      <c r="L48" s="380"/>
      <c r="M48" s="332"/>
      <c r="N48" s="42"/>
      <c r="O48" s="332"/>
      <c r="P48" s="42"/>
      <c r="Q48" s="332"/>
      <c r="R48" s="42"/>
      <c r="S48" s="332"/>
      <c r="T48" s="178"/>
      <c r="U48" s="178"/>
      <c r="V48" s="178"/>
    </row>
    <row r="49" spans="3:22" ht="11.25">
      <c r="C49" s="1" t="s">
        <v>295</v>
      </c>
      <c r="D49" s="37">
        <f>+'Insurance-North American '!D35+'Insurance-Overseas General '!D36+'Global Reinsurance '!D35</f>
        <v>21</v>
      </c>
      <c r="F49" s="37">
        <v>81</v>
      </c>
      <c r="G49" s="75"/>
      <c r="H49" s="37">
        <v>34</v>
      </c>
      <c r="I49" s="75"/>
      <c r="J49" s="37">
        <v>6</v>
      </c>
      <c r="K49" s="59"/>
      <c r="L49" s="37">
        <v>6</v>
      </c>
      <c r="M49" s="59"/>
      <c r="N49" s="37">
        <f>+H49+F49+D49</f>
        <v>136</v>
      </c>
      <c r="O49" s="59"/>
      <c r="P49" s="37">
        <v>11</v>
      </c>
      <c r="Q49" s="59"/>
      <c r="R49" s="37">
        <v>17</v>
      </c>
      <c r="S49" s="59"/>
      <c r="T49" s="178"/>
      <c r="U49" s="178"/>
      <c r="V49" s="178"/>
    </row>
    <row r="50" spans="3:22" ht="11.25">
      <c r="C50" s="42" t="s">
        <v>311</v>
      </c>
      <c r="D50" s="37">
        <f>+'Insurance-North American '!D36+'Insurance-Overseas General '!D37+'Global Reinsurance '!D36</f>
        <v>-70</v>
      </c>
      <c r="F50" s="37">
        <v>-40</v>
      </c>
      <c r="G50" s="75"/>
      <c r="H50" s="37">
        <v>-18</v>
      </c>
      <c r="I50" s="75"/>
      <c r="J50" s="37">
        <v>17</v>
      </c>
      <c r="K50" s="59"/>
      <c r="L50" s="37">
        <v>17</v>
      </c>
      <c r="M50" s="59"/>
      <c r="N50" s="37">
        <f>+H50+F50+D50</f>
        <v>-128</v>
      </c>
      <c r="O50" s="59"/>
      <c r="P50" s="37">
        <v>-29</v>
      </c>
      <c r="Q50" s="59"/>
      <c r="R50" s="37">
        <v>-12</v>
      </c>
      <c r="S50" s="59"/>
      <c r="T50" s="178"/>
      <c r="U50" s="178"/>
      <c r="V50" s="178"/>
    </row>
    <row r="51" spans="4:22" ht="6.75" customHeight="1">
      <c r="D51" s="178"/>
      <c r="E51" s="178"/>
      <c r="F51" s="178"/>
      <c r="G51" s="328"/>
      <c r="H51" s="178"/>
      <c r="I51" s="328"/>
      <c r="J51" s="178"/>
      <c r="K51" s="328"/>
      <c r="L51" s="178"/>
      <c r="M51" s="328"/>
      <c r="N51" s="328"/>
      <c r="O51" s="328"/>
      <c r="P51" s="328"/>
      <c r="Q51" s="328"/>
      <c r="R51" s="328"/>
      <c r="S51" s="328"/>
      <c r="T51" s="178"/>
      <c r="U51" s="178"/>
      <c r="V51" s="178"/>
    </row>
    <row r="52" spans="3:22" ht="11.25">
      <c r="C52" s="267" t="s">
        <v>404</v>
      </c>
      <c r="D52" s="178"/>
      <c r="E52" s="178"/>
      <c r="F52" s="178"/>
      <c r="G52" s="328"/>
      <c r="H52" s="178"/>
      <c r="I52" s="328"/>
      <c r="J52" s="178"/>
      <c r="K52" s="328"/>
      <c r="L52" s="178"/>
      <c r="M52" s="328"/>
      <c r="N52" s="328"/>
      <c r="O52" s="328"/>
      <c r="P52" s="328"/>
      <c r="Q52" s="328"/>
      <c r="R52" s="328"/>
      <c r="S52" s="328"/>
      <c r="T52" s="178"/>
      <c r="U52" s="178"/>
      <c r="V52" s="178"/>
    </row>
    <row r="53" spans="3:22" ht="11.25">
      <c r="C53" s="526" t="s">
        <v>426</v>
      </c>
      <c r="D53" s="178"/>
      <c r="E53" s="178"/>
      <c r="F53" s="178"/>
      <c r="G53" s="328"/>
      <c r="H53" s="178"/>
      <c r="I53" s="328"/>
      <c r="J53" s="178"/>
      <c r="K53" s="328"/>
      <c r="L53" s="178"/>
      <c r="M53" s="328"/>
      <c r="N53" s="328"/>
      <c r="O53" s="328"/>
      <c r="P53" s="328"/>
      <c r="Q53" s="328"/>
      <c r="R53" s="328"/>
      <c r="S53" s="328"/>
      <c r="T53" s="178"/>
      <c r="U53" s="178"/>
      <c r="V53" s="178"/>
    </row>
    <row r="54" spans="3:22" ht="12.75">
      <c r="C54" s="603" t="s">
        <v>529</v>
      </c>
      <c r="D54" s="604"/>
      <c r="E54" s="604"/>
      <c r="F54" s="604"/>
      <c r="G54" s="604"/>
      <c r="H54" s="604"/>
      <c r="I54" s="604"/>
      <c r="J54" s="604"/>
      <c r="K54" s="604"/>
      <c r="L54" s="604"/>
      <c r="M54" s="604"/>
      <c r="N54" s="604"/>
      <c r="O54" s="604"/>
      <c r="P54" s="604"/>
      <c r="Q54" s="328"/>
      <c r="R54" s="328"/>
      <c r="S54" s="328"/>
      <c r="T54" s="178"/>
      <c r="U54" s="178"/>
      <c r="V54" s="178"/>
    </row>
    <row r="55" spans="3:22" ht="11.25">
      <c r="C55" s="178"/>
      <c r="D55" s="178"/>
      <c r="E55" s="178"/>
      <c r="F55" s="178"/>
      <c r="G55" s="328"/>
      <c r="H55" s="178"/>
      <c r="I55" s="328"/>
      <c r="J55" s="178"/>
      <c r="K55" s="328"/>
      <c r="L55" s="178"/>
      <c r="M55" s="328"/>
      <c r="N55" s="328"/>
      <c r="O55" s="328"/>
      <c r="P55" s="328"/>
      <c r="Q55" s="328"/>
      <c r="R55" s="328"/>
      <c r="S55" s="328"/>
      <c r="T55" s="178"/>
      <c r="U55" s="178"/>
      <c r="V55" s="178"/>
    </row>
    <row r="56" spans="3:22" ht="11.25">
      <c r="C56" s="178"/>
      <c r="D56" s="178"/>
      <c r="E56" s="178"/>
      <c r="F56" s="178"/>
      <c r="G56" s="328"/>
      <c r="H56" s="178"/>
      <c r="I56" s="328"/>
      <c r="J56" s="178"/>
      <c r="K56" s="328"/>
      <c r="L56" s="178"/>
      <c r="M56" s="328"/>
      <c r="N56" s="328"/>
      <c r="O56" s="328"/>
      <c r="P56" s="328"/>
      <c r="Q56" s="328"/>
      <c r="R56" s="328"/>
      <c r="S56" s="328"/>
      <c r="T56" s="178"/>
      <c r="U56" s="178"/>
      <c r="V56" s="178"/>
    </row>
    <row r="57" spans="3:22" ht="11.25">
      <c r="C57" s="178"/>
      <c r="D57" s="178"/>
      <c r="E57" s="178"/>
      <c r="F57" s="178"/>
      <c r="G57" s="328"/>
      <c r="H57" s="178"/>
      <c r="I57" s="328"/>
      <c r="J57" s="178"/>
      <c r="K57" s="328"/>
      <c r="L57" s="178"/>
      <c r="M57" s="328"/>
      <c r="N57" s="328"/>
      <c r="O57" s="328"/>
      <c r="P57" s="328"/>
      <c r="Q57" s="328"/>
      <c r="R57" s="328"/>
      <c r="S57" s="328"/>
      <c r="T57" s="178"/>
      <c r="U57" s="178"/>
      <c r="V57" s="178"/>
    </row>
    <row r="58" spans="3:22" ht="11.25">
      <c r="C58" s="178"/>
      <c r="D58" s="178"/>
      <c r="E58" s="178"/>
      <c r="F58" s="178"/>
      <c r="G58" s="328"/>
      <c r="H58" s="178"/>
      <c r="I58" s="328"/>
      <c r="J58" s="178"/>
      <c r="K58" s="328"/>
      <c r="L58" s="178"/>
      <c r="M58" s="328"/>
      <c r="N58" s="328"/>
      <c r="O58" s="328"/>
      <c r="P58" s="328"/>
      <c r="Q58" s="328"/>
      <c r="R58" s="328"/>
      <c r="S58" s="328"/>
      <c r="T58" s="178"/>
      <c r="U58" s="178"/>
      <c r="V58" s="178"/>
    </row>
    <row r="59" spans="3:22" ht="11.25">
      <c r="C59" s="178"/>
      <c r="D59" s="178"/>
      <c r="E59" s="178"/>
      <c r="F59" s="178"/>
      <c r="G59" s="328"/>
      <c r="H59" s="178"/>
      <c r="I59" s="328"/>
      <c r="J59" s="178"/>
      <c r="K59" s="328"/>
      <c r="L59" s="178"/>
      <c r="M59" s="328"/>
      <c r="N59" s="328"/>
      <c r="O59" s="328"/>
      <c r="P59" s="328"/>
      <c r="Q59" s="328"/>
      <c r="R59" s="328"/>
      <c r="S59" s="328"/>
      <c r="T59" s="178"/>
      <c r="U59" s="178"/>
      <c r="V59" s="178"/>
    </row>
    <row r="60" spans="3:22" ht="11.25">
      <c r="C60" s="178"/>
      <c r="D60" s="178"/>
      <c r="E60" s="178"/>
      <c r="F60" s="178"/>
      <c r="G60" s="328"/>
      <c r="H60" s="178"/>
      <c r="I60" s="328"/>
      <c r="J60" s="178"/>
      <c r="K60" s="328"/>
      <c r="L60" s="178"/>
      <c r="M60" s="328"/>
      <c r="N60" s="328"/>
      <c r="O60" s="328"/>
      <c r="P60" s="328"/>
      <c r="Q60" s="328"/>
      <c r="R60" s="328"/>
      <c r="S60" s="328"/>
      <c r="T60" s="178"/>
      <c r="U60" s="178"/>
      <c r="V60" s="178"/>
    </row>
    <row r="61" spans="3:22" ht="11.25">
      <c r="C61" s="178"/>
      <c r="D61" s="178"/>
      <c r="E61" s="178"/>
      <c r="F61" s="178"/>
      <c r="G61" s="328"/>
      <c r="H61" s="178"/>
      <c r="I61" s="328"/>
      <c r="J61" s="178"/>
      <c r="K61" s="328"/>
      <c r="L61" s="178"/>
      <c r="M61" s="328"/>
      <c r="N61" s="328"/>
      <c r="O61" s="328"/>
      <c r="P61" s="328"/>
      <c r="Q61" s="328"/>
      <c r="R61" s="328"/>
      <c r="S61" s="328"/>
      <c r="T61" s="178"/>
      <c r="U61" s="178"/>
      <c r="V61" s="178"/>
    </row>
    <row r="62" spans="3:22" ht="11.25">
      <c r="C62" s="178"/>
      <c r="D62" s="178"/>
      <c r="E62" s="178"/>
      <c r="F62" s="178"/>
      <c r="G62" s="328"/>
      <c r="H62" s="178"/>
      <c r="I62" s="328"/>
      <c r="J62" s="178"/>
      <c r="K62" s="328"/>
      <c r="L62" s="178"/>
      <c r="M62" s="328"/>
      <c r="N62" s="328"/>
      <c r="O62" s="328"/>
      <c r="P62" s="328"/>
      <c r="Q62" s="328"/>
      <c r="R62" s="328"/>
      <c r="S62" s="328"/>
      <c r="T62" s="178"/>
      <c r="U62" s="178"/>
      <c r="V62" s="178"/>
    </row>
    <row r="63" spans="3:22" ht="11.25">
      <c r="C63" s="178"/>
      <c r="D63" s="178"/>
      <c r="E63" s="178"/>
      <c r="F63" s="178"/>
      <c r="G63" s="328"/>
      <c r="H63" s="178"/>
      <c r="I63" s="328"/>
      <c r="J63" s="178"/>
      <c r="K63" s="328"/>
      <c r="L63" s="178"/>
      <c r="M63" s="328"/>
      <c r="N63" s="328"/>
      <c r="O63" s="328"/>
      <c r="P63" s="328"/>
      <c r="Q63" s="328"/>
      <c r="R63" s="328"/>
      <c r="S63" s="328"/>
      <c r="T63" s="178"/>
      <c r="U63" s="178"/>
      <c r="V63" s="178"/>
    </row>
    <row r="64" spans="3:22" ht="11.25">
      <c r="C64" s="178"/>
      <c r="D64" s="178"/>
      <c r="E64" s="178"/>
      <c r="F64" s="178"/>
      <c r="G64" s="328"/>
      <c r="H64" s="178"/>
      <c r="I64" s="328"/>
      <c r="J64" s="178"/>
      <c r="K64" s="328"/>
      <c r="L64" s="178"/>
      <c r="M64" s="328"/>
      <c r="N64" s="328"/>
      <c r="O64" s="328"/>
      <c r="P64" s="328"/>
      <c r="Q64" s="328"/>
      <c r="R64" s="328"/>
      <c r="S64" s="328"/>
      <c r="T64" s="178"/>
      <c r="U64" s="178"/>
      <c r="V64" s="178"/>
    </row>
    <row r="65" spans="3:22" ht="11.25">
      <c r="C65" s="178"/>
      <c r="D65" s="178"/>
      <c r="E65" s="178"/>
      <c r="F65" s="178"/>
      <c r="G65" s="328"/>
      <c r="H65" s="178"/>
      <c r="I65" s="328"/>
      <c r="J65" s="178"/>
      <c r="K65" s="328"/>
      <c r="L65" s="178"/>
      <c r="M65" s="328"/>
      <c r="N65" s="328"/>
      <c r="O65" s="328"/>
      <c r="P65" s="328"/>
      <c r="Q65" s="328"/>
      <c r="R65" s="328"/>
      <c r="S65" s="328"/>
      <c r="T65" s="178"/>
      <c r="U65" s="178"/>
      <c r="V65" s="178"/>
    </row>
    <row r="66" spans="3:22" ht="11.25">
      <c r="C66" s="178"/>
      <c r="D66" s="178"/>
      <c r="E66" s="178"/>
      <c r="F66" s="178"/>
      <c r="G66" s="328"/>
      <c r="H66" s="178"/>
      <c r="I66" s="328"/>
      <c r="J66" s="178"/>
      <c r="K66" s="328"/>
      <c r="L66" s="178"/>
      <c r="M66" s="328"/>
      <c r="N66" s="328"/>
      <c r="O66" s="328"/>
      <c r="P66" s="328"/>
      <c r="Q66" s="328"/>
      <c r="R66" s="328"/>
      <c r="S66" s="328"/>
      <c r="T66" s="178"/>
      <c r="U66" s="178"/>
      <c r="V66" s="178"/>
    </row>
    <row r="67" spans="3:22" ht="11.25">
      <c r="C67" s="178"/>
      <c r="D67" s="178"/>
      <c r="E67" s="178"/>
      <c r="F67" s="178"/>
      <c r="G67" s="328"/>
      <c r="H67" s="178"/>
      <c r="I67" s="328"/>
      <c r="J67" s="178"/>
      <c r="K67" s="328"/>
      <c r="L67" s="178"/>
      <c r="M67" s="328"/>
      <c r="N67" s="328"/>
      <c r="O67" s="328"/>
      <c r="P67" s="328"/>
      <c r="Q67" s="328"/>
      <c r="R67" s="328"/>
      <c r="S67" s="328"/>
      <c r="T67" s="178"/>
      <c r="U67" s="178"/>
      <c r="V67" s="178"/>
    </row>
    <row r="68" spans="3:22" ht="11.25">
      <c r="C68" s="178"/>
      <c r="D68" s="178"/>
      <c r="E68" s="178"/>
      <c r="F68" s="178"/>
      <c r="G68" s="328"/>
      <c r="H68" s="178"/>
      <c r="I68" s="328"/>
      <c r="J68" s="178"/>
      <c r="K68" s="328"/>
      <c r="L68" s="178"/>
      <c r="M68" s="328"/>
      <c r="N68" s="328"/>
      <c r="O68" s="328"/>
      <c r="P68" s="328"/>
      <c r="Q68" s="328"/>
      <c r="R68" s="328"/>
      <c r="S68" s="328"/>
      <c r="T68" s="178"/>
      <c r="U68" s="178"/>
      <c r="V68" s="178"/>
    </row>
    <row r="69" spans="3:22" ht="11.25">
      <c r="C69" s="178"/>
      <c r="D69" s="178"/>
      <c r="E69" s="178"/>
      <c r="F69" s="178"/>
      <c r="G69" s="328"/>
      <c r="H69" s="178"/>
      <c r="I69" s="328"/>
      <c r="J69" s="178"/>
      <c r="K69" s="328"/>
      <c r="L69" s="178"/>
      <c r="M69" s="328"/>
      <c r="N69" s="328"/>
      <c r="O69" s="328"/>
      <c r="P69" s="328"/>
      <c r="Q69" s="328"/>
      <c r="R69" s="328"/>
      <c r="S69" s="328"/>
      <c r="T69" s="178"/>
      <c r="U69" s="178"/>
      <c r="V69" s="178"/>
    </row>
    <row r="70" spans="3:22" ht="11.25">
      <c r="C70" s="178"/>
      <c r="D70" s="178"/>
      <c r="E70" s="178"/>
      <c r="F70" s="178"/>
      <c r="G70" s="328"/>
      <c r="H70" s="178"/>
      <c r="I70" s="328"/>
      <c r="J70" s="178"/>
      <c r="K70" s="328"/>
      <c r="L70" s="178"/>
      <c r="M70" s="328"/>
      <c r="N70" s="328"/>
      <c r="O70" s="328"/>
      <c r="P70" s="328"/>
      <c r="Q70" s="328"/>
      <c r="R70" s="328"/>
      <c r="S70" s="328"/>
      <c r="T70" s="178"/>
      <c r="U70" s="178"/>
      <c r="V70" s="178"/>
    </row>
    <row r="71" spans="3:22" ht="11.25">
      <c r="C71" s="178"/>
      <c r="D71" s="178"/>
      <c r="E71" s="178"/>
      <c r="F71" s="178"/>
      <c r="G71" s="328"/>
      <c r="H71" s="178"/>
      <c r="I71" s="328"/>
      <c r="J71" s="178"/>
      <c r="K71" s="328"/>
      <c r="L71" s="178"/>
      <c r="M71" s="328"/>
      <c r="N71" s="328"/>
      <c r="O71" s="328"/>
      <c r="P71" s="328"/>
      <c r="Q71" s="328"/>
      <c r="R71" s="328"/>
      <c r="S71" s="328"/>
      <c r="T71" s="178"/>
      <c r="U71" s="178"/>
      <c r="V71" s="178"/>
    </row>
    <row r="72" spans="3:22" ht="11.25">
      <c r="C72" s="178"/>
      <c r="D72" s="178"/>
      <c r="E72" s="178"/>
      <c r="F72" s="178"/>
      <c r="G72" s="328"/>
      <c r="H72" s="178"/>
      <c r="I72" s="328"/>
      <c r="J72" s="178"/>
      <c r="K72" s="328"/>
      <c r="L72" s="178"/>
      <c r="M72" s="328"/>
      <c r="N72" s="328"/>
      <c r="O72" s="328"/>
      <c r="P72" s="328"/>
      <c r="Q72" s="328"/>
      <c r="R72" s="328"/>
      <c r="S72" s="328"/>
      <c r="T72" s="178"/>
      <c r="U72" s="178"/>
      <c r="V72" s="178"/>
    </row>
    <row r="73" spans="3:22" ht="11.25">
      <c r="C73" s="178"/>
      <c r="D73" s="178"/>
      <c r="E73" s="178"/>
      <c r="F73" s="178"/>
      <c r="G73" s="328"/>
      <c r="H73" s="178"/>
      <c r="I73" s="328"/>
      <c r="J73" s="178"/>
      <c r="K73" s="328"/>
      <c r="L73" s="178"/>
      <c r="M73" s="328"/>
      <c r="N73" s="328"/>
      <c r="O73" s="328"/>
      <c r="P73" s="328"/>
      <c r="Q73" s="328"/>
      <c r="R73" s="328"/>
      <c r="S73" s="328"/>
      <c r="T73" s="178"/>
      <c r="U73" s="178"/>
      <c r="V73" s="178"/>
    </row>
    <row r="74" spans="3:22" ht="11.25">
      <c r="C74" s="178"/>
      <c r="D74" s="178"/>
      <c r="E74" s="178"/>
      <c r="F74" s="178"/>
      <c r="G74" s="328"/>
      <c r="H74" s="178"/>
      <c r="I74" s="328"/>
      <c r="J74" s="178"/>
      <c r="K74" s="328"/>
      <c r="L74" s="178"/>
      <c r="M74" s="328"/>
      <c r="N74" s="328"/>
      <c r="O74" s="328"/>
      <c r="P74" s="328"/>
      <c r="Q74" s="328"/>
      <c r="R74" s="328"/>
      <c r="S74" s="328"/>
      <c r="T74" s="178"/>
      <c r="U74" s="178"/>
      <c r="V74" s="178"/>
    </row>
    <row r="75" spans="3:22" ht="11.25">
      <c r="C75" s="178"/>
      <c r="D75" s="178"/>
      <c r="E75" s="178"/>
      <c r="F75" s="178"/>
      <c r="G75" s="328"/>
      <c r="H75" s="178"/>
      <c r="I75" s="328"/>
      <c r="J75" s="178"/>
      <c r="K75" s="328"/>
      <c r="L75" s="178"/>
      <c r="M75" s="328"/>
      <c r="N75" s="328"/>
      <c r="O75" s="328"/>
      <c r="P75" s="328"/>
      <c r="Q75" s="328"/>
      <c r="R75" s="328"/>
      <c r="S75" s="328"/>
      <c r="T75" s="178"/>
      <c r="U75" s="178"/>
      <c r="V75" s="178"/>
    </row>
    <row r="76" spans="3:22" ht="11.25">
      <c r="C76" s="178"/>
      <c r="D76" s="178"/>
      <c r="E76" s="178"/>
      <c r="F76" s="178"/>
      <c r="G76" s="328"/>
      <c r="H76" s="178"/>
      <c r="I76" s="328"/>
      <c r="J76" s="178"/>
      <c r="K76" s="328"/>
      <c r="L76" s="178"/>
      <c r="M76" s="328"/>
      <c r="N76" s="328"/>
      <c r="O76" s="328"/>
      <c r="P76" s="328"/>
      <c r="Q76" s="328"/>
      <c r="R76" s="328"/>
      <c r="S76" s="328"/>
      <c r="T76" s="178"/>
      <c r="U76" s="178"/>
      <c r="V76" s="178"/>
    </row>
    <row r="77" spans="3:22" ht="11.25">
      <c r="C77" s="178"/>
      <c r="D77" s="178"/>
      <c r="E77" s="178"/>
      <c r="F77" s="178"/>
      <c r="G77" s="328"/>
      <c r="H77" s="178"/>
      <c r="I77" s="328"/>
      <c r="J77" s="178"/>
      <c r="K77" s="328"/>
      <c r="L77" s="178"/>
      <c r="M77" s="328"/>
      <c r="N77" s="328"/>
      <c r="O77" s="328"/>
      <c r="P77" s="328"/>
      <c r="Q77" s="328"/>
      <c r="R77" s="328"/>
      <c r="S77" s="328"/>
      <c r="T77" s="178"/>
      <c r="U77" s="178"/>
      <c r="V77" s="178"/>
    </row>
    <row r="78" spans="3:22" ht="11.25">
      <c r="C78" s="178"/>
      <c r="D78" s="178"/>
      <c r="E78" s="178"/>
      <c r="F78" s="178"/>
      <c r="G78" s="328"/>
      <c r="H78" s="178"/>
      <c r="I78" s="328"/>
      <c r="J78" s="178"/>
      <c r="K78" s="328"/>
      <c r="L78" s="178"/>
      <c r="M78" s="328"/>
      <c r="N78" s="328"/>
      <c r="O78" s="328"/>
      <c r="P78" s="328"/>
      <c r="Q78" s="328"/>
      <c r="R78" s="328"/>
      <c r="S78" s="328"/>
      <c r="T78" s="178"/>
      <c r="U78" s="178"/>
      <c r="V78" s="178"/>
    </row>
    <row r="79" spans="3:22" ht="11.25">
      <c r="C79" s="178"/>
      <c r="D79" s="178"/>
      <c r="E79" s="178"/>
      <c r="F79" s="178"/>
      <c r="G79" s="328"/>
      <c r="H79" s="178"/>
      <c r="I79" s="328"/>
      <c r="J79" s="178"/>
      <c r="K79" s="328"/>
      <c r="L79" s="178"/>
      <c r="M79" s="328"/>
      <c r="N79" s="328"/>
      <c r="O79" s="328"/>
      <c r="P79" s="328"/>
      <c r="Q79" s="328"/>
      <c r="R79" s="328"/>
      <c r="S79" s="328"/>
      <c r="T79" s="178"/>
      <c r="U79" s="178"/>
      <c r="V79" s="178"/>
    </row>
    <row r="80" spans="3:22" ht="11.25">
      <c r="C80" s="178"/>
      <c r="D80" s="178"/>
      <c r="E80" s="178"/>
      <c r="F80" s="178"/>
      <c r="G80" s="328"/>
      <c r="H80" s="178"/>
      <c r="I80" s="328"/>
      <c r="J80" s="178"/>
      <c r="K80" s="328"/>
      <c r="L80" s="178"/>
      <c r="M80" s="328"/>
      <c r="N80" s="328"/>
      <c r="O80" s="328"/>
      <c r="P80" s="328"/>
      <c r="Q80" s="328"/>
      <c r="R80" s="328"/>
      <c r="S80" s="328"/>
      <c r="T80" s="178"/>
      <c r="U80" s="178"/>
      <c r="V80" s="178"/>
    </row>
    <row r="81" spans="3:22" ht="11.25">
      <c r="C81" s="178"/>
      <c r="D81" s="178"/>
      <c r="E81" s="178"/>
      <c r="F81" s="178"/>
      <c r="G81" s="328"/>
      <c r="H81" s="178"/>
      <c r="I81" s="328"/>
      <c r="J81" s="178"/>
      <c r="K81" s="328"/>
      <c r="L81" s="178"/>
      <c r="M81" s="328"/>
      <c r="N81" s="328"/>
      <c r="O81" s="328"/>
      <c r="P81" s="328"/>
      <c r="Q81" s="328"/>
      <c r="R81" s="328"/>
      <c r="S81" s="328"/>
      <c r="T81" s="178"/>
      <c r="U81" s="178"/>
      <c r="V81" s="178"/>
    </row>
    <row r="82" spans="3:22" ht="11.25">
      <c r="C82" s="178"/>
      <c r="D82" s="178"/>
      <c r="E82" s="178"/>
      <c r="F82" s="178"/>
      <c r="G82" s="328"/>
      <c r="H82" s="178"/>
      <c r="I82" s="328"/>
      <c r="J82" s="178"/>
      <c r="K82" s="328"/>
      <c r="L82" s="178"/>
      <c r="M82" s="328"/>
      <c r="N82" s="328"/>
      <c r="O82" s="328"/>
      <c r="P82" s="328"/>
      <c r="Q82" s="328"/>
      <c r="R82" s="328"/>
      <c r="S82" s="328"/>
      <c r="T82" s="178"/>
      <c r="U82" s="178"/>
      <c r="V82" s="178"/>
    </row>
    <row r="83" spans="3:22" ht="11.25">
      <c r="C83" s="178"/>
      <c r="D83" s="178"/>
      <c r="E83" s="178"/>
      <c r="F83" s="178"/>
      <c r="G83" s="328"/>
      <c r="H83" s="178"/>
      <c r="I83" s="328"/>
      <c r="J83" s="178"/>
      <c r="K83" s="328"/>
      <c r="L83" s="178"/>
      <c r="M83" s="328"/>
      <c r="N83" s="328"/>
      <c r="O83" s="328"/>
      <c r="P83" s="328"/>
      <c r="Q83" s="328"/>
      <c r="R83" s="328"/>
      <c r="S83" s="328"/>
      <c r="T83" s="178"/>
      <c r="U83" s="178"/>
      <c r="V83" s="178"/>
    </row>
    <row r="84" spans="3:22" ht="11.25">
      <c r="C84" s="178"/>
      <c r="D84" s="178"/>
      <c r="E84" s="178"/>
      <c r="F84" s="178"/>
      <c r="G84" s="328"/>
      <c r="H84" s="178"/>
      <c r="I84" s="328"/>
      <c r="J84" s="178"/>
      <c r="K84" s="328"/>
      <c r="L84" s="178"/>
      <c r="M84" s="328"/>
      <c r="N84" s="328"/>
      <c r="O84" s="328"/>
      <c r="P84" s="328"/>
      <c r="Q84" s="328"/>
      <c r="R84" s="328"/>
      <c r="S84" s="328"/>
      <c r="T84" s="178"/>
      <c r="U84" s="178"/>
      <c r="V84" s="178"/>
    </row>
    <row r="85" spans="3:22" ht="11.25">
      <c r="C85" s="178"/>
      <c r="D85" s="178"/>
      <c r="E85" s="178"/>
      <c r="F85" s="178"/>
      <c r="G85" s="328"/>
      <c r="H85" s="178"/>
      <c r="I85" s="328"/>
      <c r="J85" s="178"/>
      <c r="K85" s="328"/>
      <c r="L85" s="178"/>
      <c r="M85" s="328"/>
      <c r="N85" s="328"/>
      <c r="O85" s="328"/>
      <c r="P85" s="328"/>
      <c r="Q85" s="328"/>
      <c r="R85" s="328"/>
      <c r="S85" s="328"/>
      <c r="T85" s="178"/>
      <c r="U85" s="178"/>
      <c r="V85" s="178"/>
    </row>
    <row r="86" spans="3:22" ht="11.25">
      <c r="C86" s="178"/>
      <c r="D86" s="178"/>
      <c r="E86" s="178"/>
      <c r="F86" s="178"/>
      <c r="G86" s="328"/>
      <c r="H86" s="178"/>
      <c r="I86" s="328"/>
      <c r="J86" s="178"/>
      <c r="K86" s="328"/>
      <c r="L86" s="178"/>
      <c r="M86" s="328"/>
      <c r="N86" s="328"/>
      <c r="O86" s="328"/>
      <c r="P86" s="328"/>
      <c r="Q86" s="328"/>
      <c r="R86" s="328"/>
      <c r="S86" s="328"/>
      <c r="T86" s="178"/>
      <c r="U86" s="178"/>
      <c r="V86" s="178"/>
    </row>
    <row r="87" spans="3:22" ht="11.25">
      <c r="C87" s="178"/>
      <c r="D87" s="178"/>
      <c r="E87" s="178"/>
      <c r="F87" s="178"/>
      <c r="G87" s="328"/>
      <c r="H87" s="178"/>
      <c r="I87" s="328"/>
      <c r="J87" s="178"/>
      <c r="K87" s="328"/>
      <c r="L87" s="178"/>
      <c r="M87" s="328"/>
      <c r="N87" s="328"/>
      <c r="O87" s="328"/>
      <c r="P87" s="328"/>
      <c r="Q87" s="328"/>
      <c r="R87" s="328"/>
      <c r="S87" s="328"/>
      <c r="T87" s="178"/>
      <c r="U87" s="178"/>
      <c r="V87" s="178"/>
    </row>
    <row r="88" spans="3:22" ht="11.25">
      <c r="C88" s="178"/>
      <c r="D88" s="178"/>
      <c r="E88" s="178"/>
      <c r="F88" s="178"/>
      <c r="G88" s="328"/>
      <c r="H88" s="178"/>
      <c r="I88" s="328"/>
      <c r="J88" s="178"/>
      <c r="K88" s="328"/>
      <c r="L88" s="178"/>
      <c r="M88" s="328"/>
      <c r="N88" s="328"/>
      <c r="O88" s="328"/>
      <c r="P88" s="328"/>
      <c r="Q88" s="328"/>
      <c r="R88" s="328"/>
      <c r="S88" s="328"/>
      <c r="T88" s="178"/>
      <c r="U88" s="178"/>
      <c r="V88" s="178"/>
    </row>
    <row r="89" spans="3:22" ht="11.25">
      <c r="C89" s="178"/>
      <c r="D89" s="178"/>
      <c r="E89" s="178"/>
      <c r="F89" s="178"/>
      <c r="G89" s="328"/>
      <c r="H89" s="178"/>
      <c r="I89" s="328"/>
      <c r="J89" s="178"/>
      <c r="K89" s="328"/>
      <c r="L89" s="178"/>
      <c r="M89" s="328"/>
      <c r="N89" s="328"/>
      <c r="O89" s="328"/>
      <c r="P89" s="328"/>
      <c r="Q89" s="328"/>
      <c r="R89" s="328"/>
      <c r="S89" s="328"/>
      <c r="T89" s="178"/>
      <c r="U89" s="178"/>
      <c r="V89" s="178"/>
    </row>
    <row r="90" spans="3:22" ht="11.25">
      <c r="C90" s="178"/>
      <c r="D90" s="178"/>
      <c r="E90" s="178"/>
      <c r="F90" s="178"/>
      <c r="G90" s="328"/>
      <c r="H90" s="178"/>
      <c r="I90" s="328"/>
      <c r="J90" s="178"/>
      <c r="K90" s="328"/>
      <c r="L90" s="178"/>
      <c r="M90" s="328"/>
      <c r="N90" s="328"/>
      <c r="O90" s="328"/>
      <c r="P90" s="328"/>
      <c r="Q90" s="328"/>
      <c r="R90" s="328"/>
      <c r="S90" s="328"/>
      <c r="T90" s="178"/>
      <c r="U90" s="178"/>
      <c r="V90" s="178"/>
    </row>
    <row r="91" spans="3:22" ht="11.25">
      <c r="C91" s="178"/>
      <c r="D91" s="178"/>
      <c r="E91" s="178"/>
      <c r="F91" s="178"/>
      <c r="G91" s="328"/>
      <c r="H91" s="178"/>
      <c r="I91" s="328"/>
      <c r="J91" s="178"/>
      <c r="K91" s="328"/>
      <c r="L91" s="178"/>
      <c r="M91" s="328"/>
      <c r="N91" s="328"/>
      <c r="O91" s="328"/>
      <c r="P91" s="328"/>
      <c r="Q91" s="328"/>
      <c r="R91" s="328"/>
      <c r="S91" s="328"/>
      <c r="T91" s="178"/>
      <c r="U91" s="178"/>
      <c r="V91" s="178"/>
    </row>
    <row r="92" spans="3:22" ht="11.25">
      <c r="C92" s="178"/>
      <c r="D92" s="178"/>
      <c r="E92" s="178"/>
      <c r="F92" s="178"/>
      <c r="G92" s="328"/>
      <c r="H92" s="178"/>
      <c r="I92" s="328"/>
      <c r="J92" s="178"/>
      <c r="K92" s="328"/>
      <c r="L92" s="178"/>
      <c r="M92" s="328"/>
      <c r="N92" s="328"/>
      <c r="O92" s="328"/>
      <c r="P92" s="328"/>
      <c r="Q92" s="328"/>
      <c r="R92" s="328"/>
      <c r="S92" s="328"/>
      <c r="T92" s="178"/>
      <c r="U92" s="178"/>
      <c r="V92" s="178"/>
    </row>
    <row r="93" spans="3:22" ht="11.25">
      <c r="C93" s="178"/>
      <c r="D93" s="178"/>
      <c r="E93" s="178"/>
      <c r="F93" s="178"/>
      <c r="G93" s="328"/>
      <c r="H93" s="178"/>
      <c r="I93" s="328"/>
      <c r="J93" s="178"/>
      <c r="K93" s="328"/>
      <c r="L93" s="178"/>
      <c r="M93" s="328"/>
      <c r="N93" s="328"/>
      <c r="O93" s="328"/>
      <c r="P93" s="328"/>
      <c r="Q93" s="328"/>
      <c r="R93" s="328"/>
      <c r="S93" s="328"/>
      <c r="T93" s="178"/>
      <c r="U93" s="178"/>
      <c r="V93" s="178"/>
    </row>
    <row r="94" spans="3:22" ht="11.25">
      <c r="C94" s="178"/>
      <c r="D94" s="178"/>
      <c r="E94" s="178"/>
      <c r="F94" s="178"/>
      <c r="G94" s="328"/>
      <c r="H94" s="178"/>
      <c r="I94" s="328"/>
      <c r="J94" s="178"/>
      <c r="K94" s="328"/>
      <c r="L94" s="178"/>
      <c r="M94" s="328"/>
      <c r="N94" s="328"/>
      <c r="O94" s="328"/>
      <c r="P94" s="328"/>
      <c r="Q94" s="328"/>
      <c r="R94" s="328"/>
      <c r="S94" s="328"/>
      <c r="T94" s="178"/>
      <c r="U94" s="178"/>
      <c r="V94" s="178"/>
    </row>
    <row r="95" spans="3:22" ht="11.25">
      <c r="C95" s="178"/>
      <c r="D95" s="178"/>
      <c r="E95" s="178"/>
      <c r="F95" s="178"/>
      <c r="G95" s="328"/>
      <c r="H95" s="178"/>
      <c r="I95" s="328"/>
      <c r="J95" s="178"/>
      <c r="K95" s="328"/>
      <c r="L95" s="178"/>
      <c r="M95" s="328"/>
      <c r="N95" s="328"/>
      <c r="O95" s="328"/>
      <c r="P95" s="328"/>
      <c r="Q95" s="328"/>
      <c r="R95" s="328"/>
      <c r="S95" s="328"/>
      <c r="T95" s="178"/>
      <c r="U95" s="178"/>
      <c r="V95" s="178"/>
    </row>
    <row r="96" spans="3:22" ht="11.25">
      <c r="C96" s="178"/>
      <c r="D96" s="178"/>
      <c r="E96" s="178"/>
      <c r="F96" s="178"/>
      <c r="G96" s="328"/>
      <c r="H96" s="178"/>
      <c r="I96" s="328"/>
      <c r="J96" s="178"/>
      <c r="K96" s="328"/>
      <c r="L96" s="178"/>
      <c r="M96" s="328"/>
      <c r="N96" s="328"/>
      <c r="O96" s="328"/>
      <c r="P96" s="328"/>
      <c r="Q96" s="328"/>
      <c r="R96" s="328"/>
      <c r="S96" s="328"/>
      <c r="T96" s="178"/>
      <c r="U96" s="178"/>
      <c r="V96" s="178"/>
    </row>
    <row r="97" spans="3:22" ht="11.25">
      <c r="C97" s="178"/>
      <c r="D97" s="178"/>
      <c r="E97" s="178"/>
      <c r="F97" s="178"/>
      <c r="G97" s="328"/>
      <c r="H97" s="178"/>
      <c r="I97" s="328"/>
      <c r="J97" s="178"/>
      <c r="K97" s="328"/>
      <c r="L97" s="178"/>
      <c r="M97" s="328"/>
      <c r="N97" s="328"/>
      <c r="O97" s="328"/>
      <c r="P97" s="328"/>
      <c r="Q97" s="328"/>
      <c r="R97" s="328"/>
      <c r="S97" s="328"/>
      <c r="T97" s="178"/>
      <c r="U97" s="178"/>
      <c r="V97" s="178"/>
    </row>
    <row r="98" spans="3:22" ht="11.25">
      <c r="C98" s="178"/>
      <c r="D98" s="178"/>
      <c r="E98" s="178"/>
      <c r="F98" s="178"/>
      <c r="G98" s="328"/>
      <c r="H98" s="178"/>
      <c r="I98" s="328"/>
      <c r="J98" s="178"/>
      <c r="K98" s="328"/>
      <c r="L98" s="178"/>
      <c r="M98" s="328"/>
      <c r="N98" s="328"/>
      <c r="O98" s="328"/>
      <c r="P98" s="328"/>
      <c r="Q98" s="328"/>
      <c r="R98" s="328"/>
      <c r="S98" s="328"/>
      <c r="T98" s="178"/>
      <c r="U98" s="178"/>
      <c r="V98" s="178"/>
    </row>
    <row r="99" spans="3:22" ht="11.25">
      <c r="C99" s="178"/>
      <c r="D99" s="178"/>
      <c r="E99" s="178"/>
      <c r="F99" s="178"/>
      <c r="G99" s="328"/>
      <c r="H99" s="178"/>
      <c r="I99" s="328"/>
      <c r="J99" s="178"/>
      <c r="K99" s="328"/>
      <c r="L99" s="178"/>
      <c r="M99" s="328"/>
      <c r="N99" s="328"/>
      <c r="O99" s="328"/>
      <c r="P99" s="328"/>
      <c r="Q99" s="328"/>
      <c r="R99" s="328"/>
      <c r="S99" s="328"/>
      <c r="T99" s="178"/>
      <c r="U99" s="178"/>
      <c r="V99" s="178"/>
    </row>
    <row r="100" spans="3:22" ht="11.25">
      <c r="C100" s="178"/>
      <c r="D100" s="178"/>
      <c r="E100" s="178"/>
      <c r="F100" s="178"/>
      <c r="G100" s="328"/>
      <c r="H100" s="178"/>
      <c r="I100" s="328"/>
      <c r="J100" s="178"/>
      <c r="K100" s="328"/>
      <c r="L100" s="178"/>
      <c r="M100" s="328"/>
      <c r="N100" s="328"/>
      <c r="O100" s="328"/>
      <c r="P100" s="328"/>
      <c r="Q100" s="328"/>
      <c r="R100" s="328"/>
      <c r="S100" s="328"/>
      <c r="T100" s="178"/>
      <c r="U100" s="178"/>
      <c r="V100" s="178"/>
    </row>
    <row r="101" spans="3:22" ht="11.25">
      <c r="C101" s="178"/>
      <c r="D101" s="178"/>
      <c r="E101" s="178"/>
      <c r="F101" s="178"/>
      <c r="G101" s="328"/>
      <c r="H101" s="178"/>
      <c r="I101" s="328"/>
      <c r="J101" s="178"/>
      <c r="K101" s="328"/>
      <c r="L101" s="178"/>
      <c r="M101" s="328"/>
      <c r="N101" s="328"/>
      <c r="O101" s="328"/>
      <c r="P101" s="328"/>
      <c r="Q101" s="328"/>
      <c r="R101" s="328"/>
      <c r="S101" s="328"/>
      <c r="T101" s="178"/>
      <c r="U101" s="178"/>
      <c r="V101" s="178"/>
    </row>
    <row r="102" spans="3:22" ht="11.25">
      <c r="C102" s="178"/>
      <c r="D102" s="178"/>
      <c r="E102" s="178"/>
      <c r="F102" s="178"/>
      <c r="G102" s="328"/>
      <c r="H102" s="178"/>
      <c r="I102" s="328"/>
      <c r="J102" s="178"/>
      <c r="K102" s="328"/>
      <c r="L102" s="178"/>
      <c r="M102" s="328"/>
      <c r="N102" s="328"/>
      <c r="O102" s="328"/>
      <c r="P102" s="328"/>
      <c r="Q102" s="328"/>
      <c r="R102" s="328"/>
      <c r="S102" s="328"/>
      <c r="T102" s="178"/>
      <c r="U102" s="178"/>
      <c r="V102" s="178"/>
    </row>
    <row r="103" spans="3:22" ht="11.25">
      <c r="C103" s="178"/>
      <c r="D103" s="178"/>
      <c r="E103" s="178"/>
      <c r="F103" s="178"/>
      <c r="G103" s="328"/>
      <c r="H103" s="178"/>
      <c r="I103" s="328"/>
      <c r="J103" s="178"/>
      <c r="K103" s="328"/>
      <c r="L103" s="178"/>
      <c r="M103" s="328"/>
      <c r="N103" s="328"/>
      <c r="O103" s="328"/>
      <c r="P103" s="328"/>
      <c r="Q103" s="328"/>
      <c r="R103" s="328"/>
      <c r="S103" s="328"/>
      <c r="T103" s="178"/>
      <c r="U103" s="178"/>
      <c r="V103" s="178"/>
    </row>
    <row r="104" spans="3:22" ht="11.25">
      <c r="C104" s="178"/>
      <c r="D104" s="178"/>
      <c r="E104" s="178"/>
      <c r="F104" s="178"/>
      <c r="G104" s="328"/>
      <c r="H104" s="178"/>
      <c r="I104" s="328"/>
      <c r="J104" s="178"/>
      <c r="K104" s="328"/>
      <c r="L104" s="178"/>
      <c r="M104" s="328"/>
      <c r="N104" s="328"/>
      <c r="O104" s="328"/>
      <c r="P104" s="328"/>
      <c r="Q104" s="328"/>
      <c r="R104" s="328"/>
      <c r="S104" s="328"/>
      <c r="T104" s="178"/>
      <c r="U104" s="178"/>
      <c r="V104" s="178"/>
    </row>
    <row r="105" spans="3:22" ht="11.25">
      <c r="C105" s="178"/>
      <c r="D105" s="178"/>
      <c r="E105" s="178"/>
      <c r="F105" s="178"/>
      <c r="G105" s="328"/>
      <c r="H105" s="178"/>
      <c r="I105" s="328"/>
      <c r="J105" s="178"/>
      <c r="K105" s="328"/>
      <c r="L105" s="178"/>
      <c r="M105" s="328"/>
      <c r="N105" s="328"/>
      <c r="O105" s="328"/>
      <c r="P105" s="328"/>
      <c r="Q105" s="328"/>
      <c r="R105" s="328"/>
      <c r="S105" s="328"/>
      <c r="T105" s="178"/>
      <c r="U105" s="178"/>
      <c r="V105" s="178"/>
    </row>
    <row r="106" spans="3:22" ht="11.25">
      <c r="C106" s="178"/>
      <c r="D106" s="178"/>
      <c r="E106" s="178"/>
      <c r="F106" s="178"/>
      <c r="G106" s="328"/>
      <c r="H106" s="178"/>
      <c r="I106" s="328"/>
      <c r="J106" s="178"/>
      <c r="K106" s="328"/>
      <c r="L106" s="178"/>
      <c r="M106" s="328"/>
      <c r="N106" s="328"/>
      <c r="O106" s="328"/>
      <c r="P106" s="328"/>
      <c r="Q106" s="328"/>
      <c r="R106" s="328"/>
      <c r="S106" s="328"/>
      <c r="T106" s="178"/>
      <c r="U106" s="178"/>
      <c r="V106" s="178"/>
    </row>
    <row r="107" spans="3:22" ht="11.25">
      <c r="C107" s="178"/>
      <c r="D107" s="178"/>
      <c r="E107" s="178"/>
      <c r="F107" s="178"/>
      <c r="G107" s="328"/>
      <c r="H107" s="178"/>
      <c r="I107" s="328"/>
      <c r="J107" s="178"/>
      <c r="K107" s="328"/>
      <c r="L107" s="178"/>
      <c r="M107" s="328"/>
      <c r="N107" s="328"/>
      <c r="O107" s="328"/>
      <c r="P107" s="328"/>
      <c r="Q107" s="328"/>
      <c r="R107" s="328"/>
      <c r="S107" s="328"/>
      <c r="T107" s="178"/>
      <c r="U107" s="178"/>
      <c r="V107" s="178"/>
    </row>
    <row r="108" spans="3:22" ht="11.25">
      <c r="C108" s="178"/>
      <c r="D108" s="178"/>
      <c r="E108" s="178"/>
      <c r="F108" s="178"/>
      <c r="G108" s="328"/>
      <c r="H108" s="178"/>
      <c r="I108" s="328"/>
      <c r="J108" s="178"/>
      <c r="K108" s="328"/>
      <c r="L108" s="178"/>
      <c r="M108" s="328"/>
      <c r="N108" s="328"/>
      <c r="O108" s="328"/>
      <c r="P108" s="328"/>
      <c r="Q108" s="328"/>
      <c r="R108" s="328"/>
      <c r="S108" s="328"/>
      <c r="T108" s="178"/>
      <c r="U108" s="178"/>
      <c r="V108" s="178"/>
    </row>
    <row r="109" spans="3:22" ht="11.25">
      <c r="C109" s="178"/>
      <c r="D109" s="178"/>
      <c r="E109" s="178"/>
      <c r="F109" s="178"/>
      <c r="G109" s="328"/>
      <c r="H109" s="178"/>
      <c r="I109" s="328"/>
      <c r="J109" s="178"/>
      <c r="K109" s="328"/>
      <c r="L109" s="178"/>
      <c r="M109" s="328"/>
      <c r="N109" s="328"/>
      <c r="O109" s="328"/>
      <c r="P109" s="328"/>
      <c r="Q109" s="328"/>
      <c r="R109" s="328"/>
      <c r="S109" s="328"/>
      <c r="T109" s="178"/>
      <c r="U109" s="178"/>
      <c r="V109" s="178"/>
    </row>
    <row r="110" spans="3:22" ht="11.25">
      <c r="C110" s="178"/>
      <c r="D110" s="178"/>
      <c r="E110" s="178"/>
      <c r="F110" s="178"/>
      <c r="G110" s="328"/>
      <c r="H110" s="178"/>
      <c r="I110" s="328"/>
      <c r="J110" s="178"/>
      <c r="K110" s="328"/>
      <c r="L110" s="178"/>
      <c r="M110" s="328"/>
      <c r="N110" s="328"/>
      <c r="O110" s="328"/>
      <c r="P110" s="328"/>
      <c r="Q110" s="328"/>
      <c r="R110" s="328"/>
      <c r="S110" s="328"/>
      <c r="T110" s="178"/>
      <c r="U110" s="178"/>
      <c r="V110" s="178"/>
    </row>
    <row r="111" spans="3:22" ht="11.25">
      <c r="C111" s="178"/>
      <c r="D111" s="178"/>
      <c r="E111" s="178"/>
      <c r="F111" s="178"/>
      <c r="G111" s="328"/>
      <c r="H111" s="178"/>
      <c r="I111" s="328"/>
      <c r="J111" s="178"/>
      <c r="K111" s="328"/>
      <c r="L111" s="178"/>
      <c r="M111" s="328"/>
      <c r="N111" s="328"/>
      <c r="O111" s="328"/>
      <c r="P111" s="328"/>
      <c r="Q111" s="328"/>
      <c r="R111" s="328"/>
      <c r="S111" s="328"/>
      <c r="T111" s="178"/>
      <c r="U111" s="178"/>
      <c r="V111" s="178"/>
    </row>
    <row r="112" spans="3:22" ht="11.25">
      <c r="C112" s="178"/>
      <c r="D112" s="178"/>
      <c r="E112" s="178"/>
      <c r="F112" s="178"/>
      <c r="G112" s="328"/>
      <c r="H112" s="178"/>
      <c r="I112" s="328"/>
      <c r="J112" s="178"/>
      <c r="K112" s="328"/>
      <c r="L112" s="178"/>
      <c r="M112" s="328"/>
      <c r="N112" s="328"/>
      <c r="O112" s="328"/>
      <c r="P112" s="328"/>
      <c r="Q112" s="328"/>
      <c r="R112" s="328"/>
      <c r="S112" s="328"/>
      <c r="T112" s="178"/>
      <c r="U112" s="178"/>
      <c r="V112" s="178"/>
    </row>
    <row r="113" spans="3:22" ht="11.25">
      <c r="C113" s="178"/>
      <c r="D113" s="178"/>
      <c r="E113" s="178"/>
      <c r="F113" s="178"/>
      <c r="G113" s="328"/>
      <c r="H113" s="178"/>
      <c r="I113" s="328"/>
      <c r="J113" s="178"/>
      <c r="K113" s="328"/>
      <c r="L113" s="178"/>
      <c r="M113" s="328"/>
      <c r="N113" s="328"/>
      <c r="O113" s="328"/>
      <c r="P113" s="328"/>
      <c r="Q113" s="328"/>
      <c r="R113" s="328"/>
      <c r="S113" s="328"/>
      <c r="T113" s="178"/>
      <c r="U113" s="178"/>
      <c r="V113" s="178"/>
    </row>
    <row r="114" spans="3:22" ht="11.25">
      <c r="C114" s="178"/>
      <c r="D114" s="178"/>
      <c r="E114" s="178"/>
      <c r="F114" s="178"/>
      <c r="G114" s="328"/>
      <c r="H114" s="178"/>
      <c r="I114" s="328"/>
      <c r="J114" s="178"/>
      <c r="K114" s="328"/>
      <c r="L114" s="178"/>
      <c r="M114" s="328"/>
      <c r="N114" s="328"/>
      <c r="O114" s="328"/>
      <c r="P114" s="328"/>
      <c r="Q114" s="328"/>
      <c r="R114" s="328"/>
      <c r="S114" s="328"/>
      <c r="T114" s="178"/>
      <c r="U114" s="178"/>
      <c r="V114" s="178"/>
    </row>
    <row r="115" spans="3:22" ht="11.25">
      <c r="C115" s="178"/>
      <c r="D115" s="178"/>
      <c r="E115" s="178"/>
      <c r="F115" s="178"/>
      <c r="G115" s="328"/>
      <c r="H115" s="178"/>
      <c r="I115" s="328"/>
      <c r="J115" s="178"/>
      <c r="K115" s="328"/>
      <c r="L115" s="178"/>
      <c r="M115" s="328"/>
      <c r="N115" s="328"/>
      <c r="O115" s="328"/>
      <c r="P115" s="328"/>
      <c r="Q115" s="328"/>
      <c r="R115" s="328"/>
      <c r="S115" s="328"/>
      <c r="T115" s="178"/>
      <c r="U115" s="178"/>
      <c r="V115" s="178"/>
    </row>
    <row r="116" spans="3:22" ht="11.25">
      <c r="C116" s="178"/>
      <c r="D116" s="178"/>
      <c r="E116" s="178"/>
      <c r="F116" s="178"/>
      <c r="G116" s="328"/>
      <c r="H116" s="178"/>
      <c r="I116" s="328"/>
      <c r="J116" s="178"/>
      <c r="K116" s="328"/>
      <c r="L116" s="178"/>
      <c r="M116" s="328"/>
      <c r="N116" s="328"/>
      <c r="O116" s="328"/>
      <c r="P116" s="328"/>
      <c r="Q116" s="328"/>
      <c r="R116" s="328"/>
      <c r="S116" s="328"/>
      <c r="T116" s="178"/>
      <c r="U116" s="178"/>
      <c r="V116" s="178"/>
    </row>
    <row r="117" spans="3:22" ht="11.25">
      <c r="C117" s="178"/>
      <c r="D117" s="178"/>
      <c r="E117" s="178"/>
      <c r="F117" s="178"/>
      <c r="G117" s="328"/>
      <c r="H117" s="178"/>
      <c r="I117" s="328"/>
      <c r="J117" s="178"/>
      <c r="K117" s="328"/>
      <c r="L117" s="178"/>
      <c r="M117" s="328"/>
      <c r="N117" s="328"/>
      <c r="O117" s="328"/>
      <c r="P117" s="328"/>
      <c r="Q117" s="328"/>
      <c r="R117" s="328"/>
      <c r="S117" s="328"/>
      <c r="T117" s="178"/>
      <c r="U117" s="178"/>
      <c r="V117" s="178"/>
    </row>
    <row r="118" spans="3:22" ht="11.25">
      <c r="C118" s="178"/>
      <c r="D118" s="178"/>
      <c r="E118" s="178"/>
      <c r="F118" s="178"/>
      <c r="G118" s="328"/>
      <c r="H118" s="178"/>
      <c r="I118" s="328"/>
      <c r="J118" s="178"/>
      <c r="K118" s="328"/>
      <c r="L118" s="178"/>
      <c r="M118" s="328"/>
      <c r="N118" s="328"/>
      <c r="O118" s="328"/>
      <c r="P118" s="328"/>
      <c r="Q118" s="328"/>
      <c r="R118" s="328"/>
      <c r="S118" s="328"/>
      <c r="T118" s="178"/>
      <c r="U118" s="178"/>
      <c r="V118" s="178"/>
    </row>
  </sheetData>
  <mergeCells count="5">
    <mergeCell ref="C54:P54"/>
    <mergeCell ref="C1:S1"/>
    <mergeCell ref="C2:S2"/>
    <mergeCell ref="C3:S3"/>
    <mergeCell ref="C4:S4"/>
  </mergeCells>
  <hyperlinks>
    <hyperlink ref="C53" location="'Reconciliation Non-GAAP'!Print_Area" display="(2) See page 23 Non-GAAP Financial Measures."/>
  </hyperlinks>
  <printOptions/>
  <pageMargins left="0.5" right="0.5" top="0.5" bottom="0.35" header="0.75" footer="0.25"/>
  <pageSetup fitToHeight="1" fitToWidth="1" horizontalDpi="600" verticalDpi="600" orientation="landscape" scale="88" r:id="rId2"/>
  <headerFooter alignWithMargins="0">
    <oddFooter>&amp;L&amp;A&amp;R&amp;"Arial,Regular"&amp;8Page 2</oddFooter>
  </headerFooter>
  <drawing r:id="rId1"/>
</worksheet>
</file>

<file path=xl/worksheets/sheet5.xml><?xml version="1.0" encoding="utf-8"?>
<worksheet xmlns="http://schemas.openxmlformats.org/spreadsheetml/2006/main" xmlns:r="http://schemas.openxmlformats.org/officeDocument/2006/relationships">
  <sheetPr codeName="Sheet23">
    <pageSetUpPr fitToPage="1"/>
  </sheetPr>
  <dimension ref="B1:BW63"/>
  <sheetViews>
    <sheetView workbookViewId="0" topLeftCell="A1">
      <selection activeCell="A1" sqref="A1"/>
    </sheetView>
  </sheetViews>
  <sheetFormatPr defaultColWidth="9.33203125" defaultRowHeight="12.75"/>
  <cols>
    <col min="1" max="2" width="3.33203125" style="68" customWidth="1"/>
    <col min="3" max="3" width="45.66015625" style="68" customWidth="1"/>
    <col min="4" max="4" width="3.83203125" style="68" customWidth="1"/>
    <col min="5" max="5" width="12.83203125" style="68" customWidth="1"/>
    <col min="6" max="6" width="3.83203125" style="68" customWidth="1"/>
    <col min="7" max="7" width="12.83203125" style="68" customWidth="1"/>
    <col min="8" max="8" width="3.66015625" style="68" customWidth="1"/>
    <col min="9" max="9" width="12.83203125" style="68" customWidth="1"/>
    <col min="10" max="10" width="3.83203125" style="68" customWidth="1"/>
    <col min="11" max="11" width="12.83203125" style="68" customWidth="1"/>
    <col min="12" max="13" width="3.83203125" style="68" customWidth="1"/>
    <col min="14" max="14" width="12.83203125" style="68" customWidth="1"/>
    <col min="15" max="16" width="3.83203125" style="68" customWidth="1"/>
    <col min="17" max="17" width="14.83203125" style="68" customWidth="1"/>
    <col min="18" max="16384" width="10.66015625" style="68" customWidth="1"/>
  </cols>
  <sheetData>
    <row r="1" spans="2:24" ht="14.25" customHeight="1">
      <c r="B1" s="340"/>
      <c r="C1" s="605" t="s">
        <v>89</v>
      </c>
      <c r="D1" s="605"/>
      <c r="E1" s="605"/>
      <c r="F1" s="605"/>
      <c r="G1" s="605"/>
      <c r="H1" s="605"/>
      <c r="I1" s="605"/>
      <c r="J1" s="605"/>
      <c r="K1" s="605"/>
      <c r="L1" s="605"/>
      <c r="M1" s="605"/>
      <c r="N1" s="605"/>
      <c r="O1" s="605"/>
      <c r="P1" s="340"/>
      <c r="Q1" s="340"/>
      <c r="R1" s="340"/>
      <c r="S1" s="340"/>
      <c r="T1" s="340"/>
      <c r="U1" s="340"/>
      <c r="V1" s="340"/>
      <c r="W1" s="340"/>
      <c r="X1" s="340"/>
    </row>
    <row r="2" spans="3:17" ht="11.25" customHeight="1">
      <c r="C2" s="607" t="s">
        <v>161</v>
      </c>
      <c r="D2" s="607"/>
      <c r="E2" s="607"/>
      <c r="F2" s="607"/>
      <c r="G2" s="607"/>
      <c r="H2" s="607"/>
      <c r="I2" s="607"/>
      <c r="J2" s="607"/>
      <c r="K2" s="607"/>
      <c r="L2" s="607"/>
      <c r="M2" s="607"/>
      <c r="N2" s="607"/>
      <c r="O2" s="607"/>
      <c r="P2" s="521"/>
      <c r="Q2" s="521"/>
    </row>
    <row r="3" spans="3:17" ht="11.25" customHeight="1">
      <c r="C3" s="606" t="s">
        <v>243</v>
      </c>
      <c r="D3" s="606"/>
      <c r="E3" s="606"/>
      <c r="F3" s="606"/>
      <c r="G3" s="606"/>
      <c r="H3" s="606"/>
      <c r="I3" s="606"/>
      <c r="J3" s="606"/>
      <c r="K3" s="606"/>
      <c r="L3" s="606"/>
      <c r="M3" s="606"/>
      <c r="N3" s="606"/>
      <c r="O3" s="606"/>
      <c r="P3" s="520"/>
      <c r="Q3" s="520"/>
    </row>
    <row r="4" spans="3:16" ht="7.5" customHeight="1">
      <c r="C4" s="102"/>
      <c r="D4" s="102"/>
      <c r="E4" s="102"/>
      <c r="F4" s="102"/>
      <c r="G4" s="102"/>
      <c r="H4" s="102"/>
      <c r="I4" s="102"/>
      <c r="J4" s="102"/>
      <c r="K4" s="102"/>
      <c r="L4" s="102"/>
      <c r="M4" s="102"/>
      <c r="N4" s="102"/>
      <c r="O4" s="102"/>
      <c r="P4" s="102"/>
    </row>
    <row r="5" spans="3:17" ht="11.25" customHeight="1">
      <c r="C5" s="501"/>
      <c r="D5" s="501"/>
      <c r="E5" s="584" t="s">
        <v>353</v>
      </c>
      <c r="F5" s="424"/>
      <c r="G5" s="424">
        <v>39263</v>
      </c>
      <c r="H5" s="350"/>
      <c r="I5" s="424">
        <v>39172</v>
      </c>
      <c r="J5" s="350"/>
      <c r="K5" s="424">
        <v>39082</v>
      </c>
      <c r="L5" s="536"/>
      <c r="M5" s="536"/>
      <c r="N5" s="535"/>
      <c r="O5" s="472"/>
      <c r="P5" s="472"/>
      <c r="Q5" s="472"/>
    </row>
    <row r="6" spans="5:17" ht="12.75" customHeight="1">
      <c r="E6" s="163">
        <v>2007</v>
      </c>
      <c r="F6" s="163"/>
      <c r="G6" s="163">
        <v>2007</v>
      </c>
      <c r="I6" s="163">
        <v>2007</v>
      </c>
      <c r="K6" s="163">
        <v>2006</v>
      </c>
      <c r="L6" s="81"/>
      <c r="M6" s="81"/>
      <c r="N6" s="163"/>
      <c r="O6" s="163"/>
      <c r="P6" s="472"/>
      <c r="Q6" s="163"/>
    </row>
    <row r="7" spans="5:17" ht="12.75" customHeight="1">
      <c r="E7" s="164" t="s">
        <v>163</v>
      </c>
      <c r="F7" s="325"/>
      <c r="G7" s="164" t="s">
        <v>163</v>
      </c>
      <c r="I7" s="164" t="s">
        <v>163</v>
      </c>
      <c r="K7" s="164" t="s">
        <v>321</v>
      </c>
      <c r="L7" s="81"/>
      <c r="M7" s="81"/>
      <c r="N7" s="325"/>
      <c r="O7" s="325"/>
      <c r="P7" s="472"/>
      <c r="Q7" s="325"/>
    </row>
    <row r="8" spans="3:17" ht="12.75" customHeight="1">
      <c r="C8" s="178" t="s">
        <v>135</v>
      </c>
      <c r="D8" s="178"/>
      <c r="E8" s="325"/>
      <c r="F8" s="325"/>
      <c r="G8" s="325"/>
      <c r="H8" s="178"/>
      <c r="I8" s="325"/>
      <c r="J8" s="178"/>
      <c r="K8" s="325"/>
      <c r="L8" s="328"/>
      <c r="M8" s="328"/>
      <c r="N8" s="325"/>
      <c r="O8" s="325"/>
      <c r="P8" s="472"/>
      <c r="Q8" s="121"/>
    </row>
    <row r="9" spans="3:74" ht="12.75" customHeight="1">
      <c r="C9" s="76" t="s">
        <v>73</v>
      </c>
      <c r="D9" s="76"/>
      <c r="E9" s="103">
        <v>32632</v>
      </c>
      <c r="F9" s="103"/>
      <c r="G9" s="103">
        <v>30591</v>
      </c>
      <c r="H9" s="76"/>
      <c r="I9" s="103">
        <v>29934</v>
      </c>
      <c r="J9" s="76"/>
      <c r="K9" s="103">
        <v>28540</v>
      </c>
      <c r="L9" s="101"/>
      <c r="M9" s="101"/>
      <c r="N9" s="105"/>
      <c r="O9" s="105"/>
      <c r="P9" s="472"/>
      <c r="Q9" s="105"/>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row>
    <row r="10" spans="3:74" ht="12.75" customHeight="1">
      <c r="C10" s="76" t="s">
        <v>265</v>
      </c>
      <c r="D10" s="76"/>
      <c r="E10" s="326">
        <v>2979</v>
      </c>
      <c r="F10" s="326"/>
      <c r="G10" s="326">
        <v>3013</v>
      </c>
      <c r="H10" s="76"/>
      <c r="I10" s="326">
        <v>3060</v>
      </c>
      <c r="J10" s="76"/>
      <c r="K10" s="326">
        <v>3047</v>
      </c>
      <c r="L10" s="101"/>
      <c r="M10" s="101"/>
      <c r="N10" s="85"/>
      <c r="O10" s="85"/>
      <c r="P10" s="472"/>
      <c r="Q10" s="473"/>
      <c r="R10" s="69"/>
      <c r="S10" s="69"/>
      <c r="T10" s="69"/>
      <c r="U10" s="69"/>
      <c r="V10" s="69"/>
      <c r="W10" s="69"/>
      <c r="X10" s="69"/>
      <c r="Y10" s="69"/>
      <c r="Z10" s="69"/>
      <c r="AA10" s="69"/>
      <c r="AB10" s="69"/>
      <c r="AC10" s="69"/>
      <c r="AD10" s="69"/>
      <c r="AE10" s="69"/>
      <c r="AF10" s="69"/>
      <c r="AG10" s="69"/>
      <c r="AH10" s="69"/>
      <c r="AI10" s="69"/>
      <c r="AJ10" s="69"/>
      <c r="AK10" s="69"/>
      <c r="AL10" s="69"/>
      <c r="AM10" s="69"/>
      <c r="AN10" s="69"/>
      <c r="AO10" s="69"/>
      <c r="AP10" s="69"/>
      <c r="AQ10" s="69"/>
      <c r="AR10" s="69"/>
      <c r="AS10" s="69"/>
      <c r="AT10" s="69"/>
      <c r="AU10" s="69"/>
      <c r="AV10" s="69"/>
      <c r="AW10" s="69"/>
      <c r="AX10" s="69"/>
      <c r="AY10" s="69"/>
      <c r="AZ10" s="69"/>
      <c r="BA10" s="69"/>
      <c r="BB10" s="69"/>
      <c r="BC10" s="69"/>
      <c r="BD10" s="69"/>
      <c r="BE10" s="69"/>
      <c r="BF10" s="69"/>
      <c r="BG10" s="69"/>
      <c r="BH10" s="69"/>
      <c r="BI10" s="69"/>
      <c r="BJ10" s="69"/>
      <c r="BK10" s="69"/>
      <c r="BL10" s="69"/>
      <c r="BM10" s="69"/>
      <c r="BN10" s="69"/>
      <c r="BO10" s="69"/>
      <c r="BP10" s="69"/>
      <c r="BQ10" s="69"/>
      <c r="BR10" s="69"/>
      <c r="BS10" s="69"/>
      <c r="BT10" s="69"/>
      <c r="BU10" s="69"/>
      <c r="BV10" s="69"/>
    </row>
    <row r="11" spans="3:75" ht="12.75" customHeight="1">
      <c r="C11" s="1" t="s">
        <v>74</v>
      </c>
      <c r="D11" s="1"/>
      <c r="E11" s="326">
        <v>1866</v>
      </c>
      <c r="F11" s="326"/>
      <c r="G11" s="326">
        <v>1896</v>
      </c>
      <c r="H11" s="1"/>
      <c r="I11" s="326">
        <v>1772</v>
      </c>
      <c r="J11" s="1"/>
      <c r="K11" s="326">
        <v>1713</v>
      </c>
      <c r="L11" s="7"/>
      <c r="M11" s="7"/>
      <c r="N11" s="85"/>
      <c r="O11" s="85"/>
      <c r="P11" s="472"/>
      <c r="Q11" s="85"/>
      <c r="R11" s="69"/>
      <c r="S11" s="69"/>
      <c r="T11" s="69"/>
      <c r="U11" s="69"/>
      <c r="V11" s="69"/>
      <c r="W11" s="69"/>
      <c r="X11" s="69"/>
      <c r="Y11" s="69"/>
      <c r="Z11" s="69"/>
      <c r="AA11" s="69"/>
      <c r="AB11" s="69"/>
      <c r="AC11" s="69"/>
      <c r="AD11" s="69"/>
      <c r="AE11" s="69"/>
      <c r="AF11" s="69"/>
      <c r="AG11" s="69"/>
      <c r="AH11" s="69"/>
      <c r="AI11" s="69"/>
      <c r="AJ11" s="69"/>
      <c r="AK11" s="69"/>
      <c r="AL11" s="69"/>
      <c r="AM11" s="69"/>
      <c r="AN11" s="69"/>
      <c r="AO11" s="69"/>
      <c r="AP11" s="69"/>
      <c r="AQ11" s="69"/>
      <c r="AR11" s="69"/>
      <c r="AS11" s="69"/>
      <c r="AT11" s="69"/>
      <c r="AU11" s="69"/>
      <c r="AV11" s="69"/>
      <c r="AW11" s="69"/>
      <c r="AX11" s="69"/>
      <c r="AY11" s="69"/>
      <c r="AZ11" s="69"/>
      <c r="BA11" s="69"/>
      <c r="BB11" s="69"/>
      <c r="BC11" s="69"/>
      <c r="BD11" s="69"/>
      <c r="BE11" s="69"/>
      <c r="BF11" s="69"/>
      <c r="BG11" s="69"/>
      <c r="BH11" s="69"/>
      <c r="BI11" s="69"/>
      <c r="BJ11" s="69"/>
      <c r="BK11" s="69"/>
      <c r="BL11" s="69"/>
      <c r="BM11" s="69"/>
      <c r="BN11" s="69"/>
      <c r="BO11" s="69"/>
      <c r="BP11" s="69"/>
      <c r="BQ11" s="69"/>
      <c r="BR11" s="69"/>
      <c r="BS11" s="69"/>
      <c r="BT11" s="69"/>
      <c r="BU11" s="69"/>
      <c r="BV11" s="69"/>
      <c r="BW11" s="69"/>
    </row>
    <row r="12" spans="3:75" ht="12.75" customHeight="1">
      <c r="C12" s="76" t="s">
        <v>323</v>
      </c>
      <c r="D12" s="76"/>
      <c r="E12" s="326">
        <v>2940</v>
      </c>
      <c r="F12" s="326"/>
      <c r="G12" s="326">
        <v>2919</v>
      </c>
      <c r="H12" s="76"/>
      <c r="I12" s="326">
        <v>2658</v>
      </c>
      <c r="J12" s="76"/>
      <c r="K12" s="326">
        <v>2456</v>
      </c>
      <c r="L12" s="101"/>
      <c r="M12" s="101"/>
      <c r="N12" s="85"/>
      <c r="O12" s="85"/>
      <c r="P12" s="411"/>
      <c r="Q12" s="85"/>
      <c r="R12" s="69"/>
      <c r="S12" s="69"/>
      <c r="T12" s="69"/>
      <c r="U12" s="69"/>
      <c r="V12" s="69"/>
      <c r="W12" s="69"/>
      <c r="X12" s="69"/>
      <c r="Y12" s="69"/>
      <c r="Z12" s="69"/>
      <c r="AA12" s="69"/>
      <c r="AB12" s="69"/>
      <c r="AC12" s="69"/>
      <c r="AD12" s="69"/>
      <c r="AE12" s="69"/>
      <c r="AF12" s="69"/>
      <c r="AG12" s="69"/>
      <c r="AH12" s="69"/>
      <c r="AI12" s="69"/>
      <c r="AJ12" s="69"/>
      <c r="AK12" s="69"/>
      <c r="AL12" s="69"/>
      <c r="AM12" s="69"/>
      <c r="AN12" s="69"/>
      <c r="AO12" s="69"/>
      <c r="AP12" s="69"/>
      <c r="AQ12" s="69"/>
      <c r="AR12" s="69"/>
      <c r="AS12" s="69"/>
      <c r="AT12" s="69"/>
      <c r="AU12" s="69"/>
      <c r="AV12" s="69"/>
      <c r="AW12" s="69"/>
      <c r="AX12" s="69"/>
      <c r="AY12" s="69"/>
      <c r="AZ12" s="69"/>
      <c r="BA12" s="69"/>
      <c r="BB12" s="69"/>
      <c r="BC12" s="69"/>
      <c r="BD12" s="69"/>
      <c r="BE12" s="69"/>
      <c r="BF12" s="69"/>
      <c r="BG12" s="69"/>
      <c r="BH12" s="69"/>
      <c r="BI12" s="69"/>
      <c r="BJ12" s="69"/>
      <c r="BK12" s="69"/>
      <c r="BL12" s="69"/>
      <c r="BM12" s="69"/>
      <c r="BN12" s="69"/>
      <c r="BO12" s="69"/>
      <c r="BP12" s="69"/>
      <c r="BQ12" s="69"/>
      <c r="BR12" s="69"/>
      <c r="BS12" s="69"/>
      <c r="BT12" s="69"/>
      <c r="BU12" s="69"/>
      <c r="BV12" s="69"/>
      <c r="BW12" s="69"/>
    </row>
    <row r="13" spans="3:75" ht="12.75" customHeight="1">
      <c r="C13" s="1" t="s">
        <v>199</v>
      </c>
      <c r="D13" s="1"/>
      <c r="E13" s="326">
        <v>1050</v>
      </c>
      <c r="F13" s="326"/>
      <c r="G13" s="326">
        <v>934</v>
      </c>
      <c r="H13" s="1"/>
      <c r="I13" s="326">
        <v>896</v>
      </c>
      <c r="J13" s="1"/>
      <c r="K13" s="326">
        <v>845</v>
      </c>
      <c r="L13" s="7"/>
      <c r="M13" s="7"/>
      <c r="N13" s="85"/>
      <c r="O13" s="85"/>
      <c r="P13" s="75"/>
      <c r="Q13" s="85"/>
      <c r="R13" s="69"/>
      <c r="S13" s="69"/>
      <c r="T13" s="69"/>
      <c r="U13" s="69"/>
      <c r="V13" s="69"/>
      <c r="W13" s="69"/>
      <c r="X13" s="69"/>
      <c r="Y13" s="69"/>
      <c r="Z13" s="69"/>
      <c r="AA13" s="69"/>
      <c r="AB13" s="69"/>
      <c r="AC13" s="69"/>
      <c r="AD13" s="69"/>
      <c r="AE13" s="69"/>
      <c r="AF13" s="69"/>
      <c r="AG13" s="69"/>
      <c r="AH13" s="69"/>
      <c r="AI13" s="69"/>
      <c r="AJ13" s="69"/>
      <c r="AK13" s="69"/>
      <c r="AL13" s="69"/>
      <c r="AM13" s="69"/>
      <c r="AN13" s="69"/>
      <c r="AO13" s="69"/>
      <c r="AP13" s="69"/>
      <c r="AQ13" s="69"/>
      <c r="AR13" s="69"/>
      <c r="AS13" s="69"/>
      <c r="AT13" s="69"/>
      <c r="AU13" s="69"/>
      <c r="AV13" s="69"/>
      <c r="AW13" s="69"/>
      <c r="AX13" s="69"/>
      <c r="AY13" s="69"/>
      <c r="AZ13" s="69"/>
      <c r="BA13" s="69"/>
      <c r="BB13" s="69"/>
      <c r="BC13" s="69"/>
      <c r="BD13" s="69"/>
      <c r="BE13" s="69"/>
      <c r="BF13" s="69"/>
      <c r="BG13" s="69"/>
      <c r="BH13" s="69"/>
      <c r="BI13" s="69"/>
      <c r="BJ13" s="69"/>
      <c r="BK13" s="69"/>
      <c r="BL13" s="69"/>
      <c r="BM13" s="69"/>
      <c r="BN13" s="69"/>
      <c r="BO13" s="69"/>
      <c r="BP13" s="69"/>
      <c r="BQ13" s="69"/>
      <c r="BR13" s="69"/>
      <c r="BS13" s="69"/>
      <c r="BT13" s="69"/>
      <c r="BU13" s="69"/>
      <c r="BV13" s="69"/>
      <c r="BW13" s="69"/>
    </row>
    <row r="14" spans="3:75" ht="12.75" customHeight="1">
      <c r="C14" s="1" t="s">
        <v>244</v>
      </c>
      <c r="D14" s="1"/>
      <c r="E14" s="407">
        <f>SUM(E9:E13)</f>
        <v>41467</v>
      </c>
      <c r="F14" s="326"/>
      <c r="G14" s="407">
        <f>SUM(G9:G13)</f>
        <v>39353</v>
      </c>
      <c r="H14" s="1"/>
      <c r="I14" s="407">
        <f>SUM(I9:I13)</f>
        <v>38320</v>
      </c>
      <c r="J14" s="1"/>
      <c r="K14" s="407">
        <f>SUM(K9:K13)</f>
        <v>36601</v>
      </c>
      <c r="L14" s="7"/>
      <c r="M14" s="7"/>
      <c r="N14" s="326"/>
      <c r="O14" s="326"/>
      <c r="P14" s="75"/>
      <c r="Q14" s="326"/>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69"/>
      <c r="BK14" s="69"/>
      <c r="BL14" s="69"/>
      <c r="BM14" s="69"/>
      <c r="BN14" s="69"/>
      <c r="BO14" s="69"/>
      <c r="BP14" s="69"/>
      <c r="BQ14" s="69"/>
      <c r="BR14" s="69"/>
      <c r="BS14" s="69"/>
      <c r="BT14" s="69"/>
      <c r="BU14" s="69"/>
      <c r="BV14" s="69"/>
      <c r="BW14" s="69"/>
    </row>
    <row r="15" spans="3:75" ht="4.5" customHeight="1">
      <c r="C15" s="1"/>
      <c r="D15" s="1"/>
      <c r="E15" s="42"/>
      <c r="F15" s="42"/>
      <c r="G15" s="42"/>
      <c r="H15" s="1"/>
      <c r="I15" s="42"/>
      <c r="J15" s="1"/>
      <c r="K15" s="42"/>
      <c r="L15" s="7"/>
      <c r="M15" s="7"/>
      <c r="N15" s="75"/>
      <c r="O15" s="75"/>
      <c r="P15" s="75"/>
      <c r="Q15" s="105"/>
      <c r="R15" s="69"/>
      <c r="S15" s="69"/>
      <c r="T15" s="69"/>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c r="AS15" s="69"/>
      <c r="AT15" s="69"/>
      <c r="AU15" s="69"/>
      <c r="AV15" s="69"/>
      <c r="AW15" s="69"/>
      <c r="AX15" s="69"/>
      <c r="AY15" s="69"/>
      <c r="AZ15" s="69"/>
      <c r="BA15" s="69"/>
      <c r="BB15" s="69"/>
      <c r="BC15" s="69"/>
      <c r="BD15" s="69"/>
      <c r="BE15" s="69"/>
      <c r="BF15" s="69"/>
      <c r="BG15" s="69"/>
      <c r="BH15" s="69"/>
      <c r="BI15" s="69"/>
      <c r="BJ15" s="69"/>
      <c r="BK15" s="69"/>
      <c r="BL15" s="69"/>
      <c r="BM15" s="69"/>
      <c r="BN15" s="69"/>
      <c r="BO15" s="69"/>
      <c r="BP15" s="69"/>
      <c r="BQ15" s="69"/>
      <c r="BR15" s="69"/>
      <c r="BS15" s="69"/>
      <c r="BT15" s="69"/>
      <c r="BU15" s="69"/>
      <c r="BV15" s="69"/>
      <c r="BW15" s="69"/>
    </row>
    <row r="16" spans="3:75" ht="12.75" customHeight="1">
      <c r="C16" s="1" t="s">
        <v>97</v>
      </c>
      <c r="D16" s="1"/>
      <c r="E16" s="326">
        <v>506</v>
      </c>
      <c r="F16" s="326"/>
      <c r="G16" s="326">
        <v>621</v>
      </c>
      <c r="H16" s="1"/>
      <c r="I16" s="326">
        <v>639</v>
      </c>
      <c r="J16" s="1"/>
      <c r="K16" s="326">
        <v>565</v>
      </c>
      <c r="L16" s="7"/>
      <c r="M16" s="7"/>
      <c r="N16" s="85"/>
      <c r="O16" s="85"/>
      <c r="P16" s="75"/>
      <c r="Q16" s="85"/>
      <c r="R16" s="69"/>
      <c r="S16" s="69"/>
      <c r="T16" s="69"/>
      <c r="U16" s="69"/>
      <c r="V16" s="69"/>
      <c r="W16" s="69"/>
      <c r="X16" s="69"/>
      <c r="Y16" s="69"/>
      <c r="Z16" s="69"/>
      <c r="AA16" s="69"/>
      <c r="AB16" s="69"/>
      <c r="AC16" s="69"/>
      <c r="AD16" s="69"/>
      <c r="AE16" s="69"/>
      <c r="AF16" s="69"/>
      <c r="AG16" s="69"/>
      <c r="AH16" s="69"/>
      <c r="AI16" s="69"/>
      <c r="AJ16" s="69"/>
      <c r="AK16" s="69"/>
      <c r="AL16" s="69"/>
      <c r="AM16" s="69"/>
      <c r="AN16" s="69"/>
      <c r="AO16" s="69"/>
      <c r="AP16" s="69"/>
      <c r="AQ16" s="69"/>
      <c r="AR16" s="69"/>
      <c r="AS16" s="69"/>
      <c r="AT16" s="69"/>
      <c r="AU16" s="69"/>
      <c r="AV16" s="69"/>
      <c r="AW16" s="69"/>
      <c r="AX16" s="69"/>
      <c r="AY16" s="69"/>
      <c r="AZ16" s="69"/>
      <c r="BA16" s="69"/>
      <c r="BB16" s="69"/>
      <c r="BC16" s="69"/>
      <c r="BD16" s="69"/>
      <c r="BE16" s="69"/>
      <c r="BF16" s="69"/>
      <c r="BG16" s="69"/>
      <c r="BH16" s="69"/>
      <c r="BI16" s="69"/>
      <c r="BJ16" s="69"/>
      <c r="BK16" s="69"/>
      <c r="BL16" s="69"/>
      <c r="BM16" s="69"/>
      <c r="BN16" s="69"/>
      <c r="BO16" s="69"/>
      <c r="BP16" s="69"/>
      <c r="BQ16" s="69"/>
      <c r="BR16" s="69"/>
      <c r="BS16" s="69"/>
      <c r="BT16" s="69"/>
      <c r="BU16" s="69"/>
      <c r="BV16" s="69"/>
      <c r="BW16" s="69"/>
    </row>
    <row r="17" spans="3:75" ht="12.75" customHeight="1">
      <c r="C17" s="1" t="s">
        <v>157</v>
      </c>
      <c r="D17" s="1"/>
      <c r="E17" s="326">
        <v>2301</v>
      </c>
      <c r="F17" s="326"/>
      <c r="G17" s="326">
        <v>2811</v>
      </c>
      <c r="H17" s="1"/>
      <c r="I17" s="326">
        <v>2905</v>
      </c>
      <c r="J17" s="1"/>
      <c r="K17" s="326">
        <v>2171</v>
      </c>
      <c r="L17" s="7"/>
      <c r="M17" s="7"/>
      <c r="N17" s="85"/>
      <c r="O17" s="85"/>
      <c r="P17" s="75"/>
      <c r="Q17" s="85"/>
      <c r="R17" s="69"/>
      <c r="S17" s="69"/>
      <c r="T17" s="69"/>
      <c r="U17" s="69"/>
      <c r="V17" s="69"/>
      <c r="W17" s="69"/>
      <c r="X17" s="69"/>
      <c r="Y17" s="69"/>
      <c r="Z17" s="69"/>
      <c r="AA17" s="69"/>
      <c r="AB17" s="69"/>
      <c r="AC17" s="69"/>
      <c r="AD17" s="69"/>
      <c r="AE17" s="69"/>
      <c r="AF17" s="69"/>
      <c r="AG17" s="69"/>
      <c r="AH17" s="69"/>
      <c r="AI17" s="69"/>
      <c r="AJ17" s="69"/>
      <c r="AK17" s="69"/>
      <c r="AL17" s="69"/>
      <c r="AM17" s="69"/>
      <c r="AN17" s="69"/>
      <c r="AO17" s="69"/>
      <c r="AP17" s="69"/>
      <c r="AQ17" s="69"/>
      <c r="AR17" s="69"/>
      <c r="AS17" s="69"/>
      <c r="AT17" s="69"/>
      <c r="AU17" s="69"/>
      <c r="AV17" s="69"/>
      <c r="AW17" s="69"/>
      <c r="AX17" s="69"/>
      <c r="AY17" s="69"/>
      <c r="AZ17" s="69"/>
      <c r="BA17" s="69"/>
      <c r="BB17" s="69"/>
      <c r="BC17" s="69"/>
      <c r="BD17" s="69"/>
      <c r="BE17" s="69"/>
      <c r="BF17" s="69"/>
      <c r="BG17" s="69"/>
      <c r="BH17" s="69"/>
      <c r="BI17" s="69"/>
      <c r="BJ17" s="69"/>
      <c r="BK17" s="69"/>
      <c r="BL17" s="69"/>
      <c r="BM17" s="69"/>
      <c r="BN17" s="69"/>
      <c r="BO17" s="69"/>
      <c r="BP17" s="69"/>
      <c r="BQ17" s="69"/>
      <c r="BR17" s="69"/>
      <c r="BS17" s="69"/>
      <c r="BT17" s="69"/>
      <c r="BU17" s="69"/>
      <c r="BV17" s="69"/>
      <c r="BW17" s="69"/>
    </row>
    <row r="18" spans="3:75" ht="12.75" customHeight="1">
      <c r="C18" s="1" t="s">
        <v>98</v>
      </c>
      <c r="D18" s="1"/>
      <c r="E18" s="326">
        <v>3324</v>
      </c>
      <c r="F18" s="326"/>
      <c r="G18" s="326">
        <v>3923</v>
      </c>
      <c r="H18" s="1"/>
      <c r="I18" s="326">
        <v>3689</v>
      </c>
      <c r="J18" s="1"/>
      <c r="K18" s="326">
        <v>3580</v>
      </c>
      <c r="L18" s="7"/>
      <c r="M18" s="7"/>
      <c r="N18" s="85"/>
      <c r="O18" s="85"/>
      <c r="P18" s="75"/>
      <c r="Q18" s="85"/>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69"/>
      <c r="BA18" s="69"/>
      <c r="BB18" s="69"/>
      <c r="BC18" s="69"/>
      <c r="BD18" s="69"/>
      <c r="BE18" s="69"/>
      <c r="BF18" s="69"/>
      <c r="BG18" s="69"/>
      <c r="BH18" s="69"/>
      <c r="BI18" s="69"/>
      <c r="BJ18" s="69"/>
      <c r="BK18" s="69"/>
      <c r="BL18" s="69"/>
      <c r="BM18" s="69"/>
      <c r="BN18" s="69"/>
      <c r="BO18" s="69"/>
      <c r="BP18" s="69"/>
      <c r="BQ18" s="69"/>
      <c r="BR18" s="69"/>
      <c r="BS18" s="69"/>
      <c r="BT18" s="69"/>
      <c r="BU18" s="69"/>
      <c r="BV18" s="69"/>
      <c r="BW18" s="69"/>
    </row>
    <row r="19" spans="3:75" ht="12.75" customHeight="1">
      <c r="C19" s="1" t="s">
        <v>99</v>
      </c>
      <c r="D19" s="1"/>
      <c r="E19" s="326">
        <v>14218</v>
      </c>
      <c r="F19" s="326"/>
      <c r="G19" s="326">
        <v>14081</v>
      </c>
      <c r="H19" s="1"/>
      <c r="I19" s="326">
        <v>14374</v>
      </c>
      <c r="J19" s="1"/>
      <c r="K19" s="326">
        <v>14580</v>
      </c>
      <c r="L19" s="7"/>
      <c r="M19" s="7"/>
      <c r="N19" s="85"/>
      <c r="O19" s="85"/>
      <c r="P19" s="75"/>
      <c r="Q19" s="85"/>
      <c r="R19" s="69"/>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69"/>
      <c r="AV19" s="69"/>
      <c r="AW19" s="69"/>
      <c r="AX19" s="69"/>
      <c r="AY19" s="69"/>
      <c r="AZ19" s="69"/>
      <c r="BA19" s="69"/>
      <c r="BB19" s="69"/>
      <c r="BC19" s="69"/>
      <c r="BD19" s="69"/>
      <c r="BE19" s="69"/>
      <c r="BF19" s="69"/>
      <c r="BG19" s="69"/>
      <c r="BH19" s="69"/>
      <c r="BI19" s="69"/>
      <c r="BJ19" s="69"/>
      <c r="BK19" s="69"/>
      <c r="BL19" s="69"/>
      <c r="BM19" s="69"/>
      <c r="BN19" s="69"/>
      <c r="BO19" s="69"/>
      <c r="BP19" s="69"/>
      <c r="BQ19" s="69"/>
      <c r="BR19" s="69"/>
      <c r="BS19" s="69"/>
      <c r="BT19" s="69"/>
      <c r="BU19" s="69"/>
      <c r="BV19" s="69"/>
      <c r="BW19" s="69"/>
    </row>
    <row r="20" spans="3:75" ht="12.75" customHeight="1">
      <c r="C20" s="1" t="s">
        <v>100</v>
      </c>
      <c r="D20" s="1"/>
      <c r="E20" s="326">
        <v>1138</v>
      </c>
      <c r="F20" s="326"/>
      <c r="G20" s="326">
        <v>1160</v>
      </c>
      <c r="H20" s="1"/>
      <c r="I20" s="326">
        <v>1133</v>
      </c>
      <c r="J20" s="1"/>
      <c r="K20" s="326">
        <v>1077</v>
      </c>
      <c r="L20" s="7"/>
      <c r="M20" s="7"/>
      <c r="N20" s="85"/>
      <c r="O20" s="85"/>
      <c r="P20" s="75"/>
      <c r="Q20" s="85"/>
      <c r="R20" s="69"/>
      <c r="S20" s="69"/>
      <c r="T20" s="69"/>
      <c r="U20" s="69"/>
      <c r="V20" s="69"/>
      <c r="W20" s="69"/>
      <c r="X20" s="69"/>
      <c r="Y20" s="69"/>
      <c r="Z20" s="69"/>
      <c r="AA20" s="69"/>
      <c r="AB20" s="69"/>
      <c r="AC20" s="69"/>
      <c r="AD20" s="69"/>
      <c r="AE20" s="69"/>
      <c r="AF20" s="69"/>
      <c r="AG20" s="69"/>
      <c r="AH20" s="69"/>
      <c r="AI20" s="69"/>
      <c r="AJ20" s="69"/>
      <c r="AK20" s="69"/>
      <c r="AL20" s="69"/>
      <c r="AM20" s="69"/>
      <c r="AN20" s="69"/>
      <c r="AO20" s="69"/>
      <c r="AP20" s="69"/>
      <c r="AQ20" s="69"/>
      <c r="AR20" s="69"/>
      <c r="AS20" s="69"/>
      <c r="AT20" s="69"/>
      <c r="AU20" s="69"/>
      <c r="AV20" s="69"/>
      <c r="AW20" s="69"/>
      <c r="AX20" s="69"/>
      <c r="AY20" s="69"/>
      <c r="AZ20" s="69"/>
      <c r="BA20" s="69"/>
      <c r="BB20" s="69"/>
      <c r="BC20" s="69"/>
      <c r="BD20" s="69"/>
      <c r="BE20" s="69"/>
      <c r="BF20" s="69"/>
      <c r="BG20" s="69"/>
      <c r="BH20" s="69"/>
      <c r="BI20" s="69"/>
      <c r="BJ20" s="69"/>
      <c r="BK20" s="69"/>
      <c r="BL20" s="69"/>
      <c r="BM20" s="69"/>
      <c r="BN20" s="69"/>
      <c r="BO20" s="69"/>
      <c r="BP20" s="69"/>
      <c r="BQ20" s="69"/>
      <c r="BR20" s="69"/>
      <c r="BS20" s="69"/>
      <c r="BT20" s="69"/>
      <c r="BU20" s="69"/>
      <c r="BV20" s="69"/>
      <c r="BW20" s="69"/>
    </row>
    <row r="21" spans="3:75" ht="12.75" customHeight="1">
      <c r="C21" s="1" t="s">
        <v>101</v>
      </c>
      <c r="D21" s="1"/>
      <c r="E21" s="326">
        <v>1687</v>
      </c>
      <c r="F21" s="326"/>
      <c r="G21" s="326">
        <v>1854</v>
      </c>
      <c r="H21" s="1"/>
      <c r="I21" s="326">
        <v>1621</v>
      </c>
      <c r="J21" s="1"/>
      <c r="K21" s="326">
        <v>1586</v>
      </c>
      <c r="L21" s="7"/>
      <c r="M21" s="7"/>
      <c r="N21" s="85"/>
      <c r="O21" s="85"/>
      <c r="P21" s="75"/>
      <c r="Q21" s="85"/>
      <c r="R21" s="69"/>
      <c r="S21" s="69"/>
      <c r="T21" s="69"/>
      <c r="U21" s="69"/>
      <c r="V21" s="69"/>
      <c r="W21" s="69"/>
      <c r="X21" s="69"/>
      <c r="Y21" s="69"/>
      <c r="Z21" s="69"/>
      <c r="AA21" s="69"/>
      <c r="AB21" s="69"/>
      <c r="AC21" s="69"/>
      <c r="AD21" s="69"/>
      <c r="AE21" s="69"/>
      <c r="AF21" s="69"/>
      <c r="AG21" s="69"/>
      <c r="AH21" s="69"/>
      <c r="AI21" s="69"/>
      <c r="AJ21" s="69"/>
      <c r="AK21" s="69"/>
      <c r="AL21" s="69"/>
      <c r="AM21" s="69"/>
      <c r="AN21" s="69"/>
      <c r="AO21" s="69"/>
      <c r="AP21" s="69"/>
      <c r="AQ21" s="69"/>
      <c r="AR21" s="69"/>
      <c r="AS21" s="69"/>
      <c r="AT21" s="69"/>
      <c r="AU21" s="69"/>
      <c r="AV21" s="69"/>
      <c r="AW21" s="69"/>
      <c r="AX21" s="69"/>
      <c r="AY21" s="69"/>
      <c r="AZ21" s="69"/>
      <c r="BA21" s="69"/>
      <c r="BB21" s="69"/>
      <c r="BC21" s="69"/>
      <c r="BD21" s="69"/>
      <c r="BE21" s="69"/>
      <c r="BF21" s="69"/>
      <c r="BG21" s="69"/>
      <c r="BH21" s="69"/>
      <c r="BI21" s="69"/>
      <c r="BJ21" s="69"/>
      <c r="BK21" s="69"/>
      <c r="BL21" s="69"/>
      <c r="BM21" s="69"/>
      <c r="BN21" s="69"/>
      <c r="BO21" s="69"/>
      <c r="BP21" s="69"/>
      <c r="BQ21" s="69"/>
      <c r="BR21" s="69"/>
      <c r="BS21" s="69"/>
      <c r="BT21" s="69"/>
      <c r="BU21" s="69"/>
      <c r="BV21" s="69"/>
      <c r="BW21" s="69"/>
    </row>
    <row r="22" spans="3:75" ht="12.75" customHeight="1">
      <c r="C22" s="1" t="s">
        <v>102</v>
      </c>
      <c r="D22" s="1"/>
      <c r="E22" s="326">
        <v>2731</v>
      </c>
      <c r="F22" s="326"/>
      <c r="G22" s="326">
        <v>2731</v>
      </c>
      <c r="H22" s="1"/>
      <c r="I22" s="326">
        <v>2731</v>
      </c>
      <c r="J22" s="1"/>
      <c r="K22" s="326">
        <v>2731</v>
      </c>
      <c r="L22" s="7"/>
      <c r="M22" s="7"/>
      <c r="N22" s="85"/>
      <c r="O22" s="85"/>
      <c r="P22" s="75"/>
      <c r="Q22" s="85"/>
      <c r="R22" s="69"/>
      <c r="S22" s="69"/>
      <c r="T22" s="69"/>
      <c r="U22" s="69"/>
      <c r="V22" s="69"/>
      <c r="W22" s="69"/>
      <c r="X22" s="69"/>
      <c r="Y22" s="69"/>
      <c r="Z22" s="69"/>
      <c r="AA22" s="69"/>
      <c r="AB22" s="69"/>
      <c r="AC22" s="69"/>
      <c r="AD22" s="69"/>
      <c r="AE22" s="69"/>
      <c r="AF22" s="69"/>
      <c r="AG22" s="69"/>
      <c r="AH22" s="69"/>
      <c r="AI22" s="69"/>
      <c r="AJ22" s="69"/>
      <c r="AK22" s="69"/>
      <c r="AL22" s="69"/>
      <c r="AM22" s="69"/>
      <c r="AN22" s="69"/>
      <c r="AO22" s="69"/>
      <c r="AP22" s="69"/>
      <c r="AQ22" s="69"/>
      <c r="AR22" s="69"/>
      <c r="AS22" s="69"/>
      <c r="AT22" s="69"/>
      <c r="AU22" s="69"/>
      <c r="AV22" s="69"/>
      <c r="AW22" s="69"/>
      <c r="AX22" s="69"/>
      <c r="AY22" s="69"/>
      <c r="AZ22" s="69"/>
      <c r="BA22" s="69"/>
      <c r="BB22" s="69"/>
      <c r="BC22" s="69"/>
      <c r="BD22" s="69"/>
      <c r="BE22" s="69"/>
      <c r="BF22" s="69"/>
      <c r="BG22" s="69"/>
      <c r="BH22" s="69"/>
      <c r="BI22" s="69"/>
      <c r="BJ22" s="69"/>
      <c r="BK22" s="69"/>
      <c r="BL22" s="69"/>
      <c r="BM22" s="69"/>
      <c r="BN22" s="69"/>
      <c r="BO22" s="69"/>
      <c r="BP22" s="69"/>
      <c r="BQ22" s="69"/>
      <c r="BR22" s="69"/>
      <c r="BS22" s="69"/>
      <c r="BT22" s="69"/>
      <c r="BU22" s="69"/>
      <c r="BV22" s="69"/>
      <c r="BW22" s="69"/>
    </row>
    <row r="23" spans="3:75" ht="12.75" customHeight="1">
      <c r="C23" s="1" t="s">
        <v>103</v>
      </c>
      <c r="D23" s="1"/>
      <c r="E23" s="326">
        <v>1163</v>
      </c>
      <c r="F23" s="326"/>
      <c r="G23" s="326">
        <v>1163</v>
      </c>
      <c r="H23" s="1"/>
      <c r="I23" s="326">
        <v>1192</v>
      </c>
      <c r="J23" s="1"/>
      <c r="K23" s="326">
        <v>1165</v>
      </c>
      <c r="L23" s="7"/>
      <c r="M23" s="7"/>
      <c r="N23" s="85"/>
      <c r="O23" s="85"/>
      <c r="P23" s="75"/>
      <c r="Q23" s="85"/>
      <c r="R23" s="69"/>
      <c r="S23" s="69"/>
      <c r="T23" s="69"/>
      <c r="U23" s="69"/>
      <c r="V23" s="69"/>
      <c r="W23" s="69"/>
      <c r="X23" s="69"/>
      <c r="Y23" s="69"/>
      <c r="Z23" s="69"/>
      <c r="AA23" s="69"/>
      <c r="AB23" s="69"/>
      <c r="AC23" s="69"/>
      <c r="AD23" s="69"/>
      <c r="AE23" s="69"/>
      <c r="AF23" s="69"/>
      <c r="AG23" s="69"/>
      <c r="AH23" s="69"/>
      <c r="AI23" s="69"/>
      <c r="AJ23" s="69"/>
      <c r="AK23" s="69"/>
      <c r="AL23" s="69"/>
      <c r="AM23" s="69"/>
      <c r="AN23" s="69"/>
      <c r="AO23" s="69"/>
      <c r="AP23" s="69"/>
      <c r="AQ23" s="69"/>
      <c r="AR23" s="69"/>
      <c r="AS23" s="69"/>
      <c r="AT23" s="69"/>
      <c r="AU23" s="69"/>
      <c r="AV23" s="69"/>
      <c r="AW23" s="69"/>
      <c r="AX23" s="69"/>
      <c r="AY23" s="69"/>
      <c r="AZ23" s="69"/>
      <c r="BA23" s="69"/>
      <c r="BB23" s="69"/>
      <c r="BC23" s="69"/>
      <c r="BD23" s="69"/>
      <c r="BE23" s="69"/>
      <c r="BF23" s="69"/>
      <c r="BG23" s="69"/>
      <c r="BH23" s="69"/>
      <c r="BI23" s="69"/>
      <c r="BJ23" s="69"/>
      <c r="BK23" s="69"/>
      <c r="BL23" s="69"/>
      <c r="BM23" s="69"/>
      <c r="BN23" s="69"/>
      <c r="BO23" s="69"/>
      <c r="BP23" s="69"/>
      <c r="BQ23" s="69"/>
      <c r="BR23" s="69"/>
      <c r="BS23" s="69"/>
      <c r="BT23" s="69"/>
      <c r="BU23" s="69"/>
      <c r="BV23" s="69"/>
      <c r="BW23" s="69"/>
    </row>
    <row r="24" spans="3:75" ht="12.75" customHeight="1">
      <c r="C24" s="1" t="s">
        <v>263</v>
      </c>
      <c r="D24" s="1"/>
      <c r="E24" s="326">
        <v>786</v>
      </c>
      <c r="F24" s="326"/>
      <c r="G24" s="326">
        <v>826</v>
      </c>
      <c r="H24" s="1"/>
      <c r="I24" s="326">
        <v>804</v>
      </c>
      <c r="J24" s="1"/>
      <c r="K24" s="326">
        <v>789</v>
      </c>
      <c r="L24" s="7"/>
      <c r="M24" s="7"/>
      <c r="N24" s="85"/>
      <c r="O24" s="85"/>
      <c r="P24" s="75"/>
      <c r="Q24" s="85"/>
      <c r="R24" s="69"/>
      <c r="S24" s="69"/>
      <c r="T24" s="69"/>
      <c r="U24" s="69"/>
      <c r="V24" s="69"/>
      <c r="W24" s="69"/>
      <c r="X24" s="69"/>
      <c r="Y24" s="69"/>
      <c r="Z24" s="69"/>
      <c r="AA24" s="69"/>
      <c r="AB24" s="69"/>
      <c r="AC24" s="69"/>
      <c r="AD24" s="69"/>
      <c r="AE24" s="69"/>
      <c r="AF24" s="69"/>
      <c r="AG24" s="69"/>
      <c r="AH24" s="69"/>
      <c r="AI24" s="69"/>
      <c r="AJ24" s="69"/>
      <c r="AK24" s="69"/>
      <c r="AL24" s="69"/>
      <c r="AM24" s="69"/>
      <c r="AN24" s="69"/>
      <c r="AO24" s="69"/>
      <c r="AP24" s="69"/>
      <c r="AQ24" s="69"/>
      <c r="AR24" s="69"/>
      <c r="AS24" s="69"/>
      <c r="AT24" s="69"/>
      <c r="AU24" s="69"/>
      <c r="AV24" s="69"/>
      <c r="AW24" s="69"/>
      <c r="AX24" s="69"/>
      <c r="AY24" s="69"/>
      <c r="AZ24" s="69"/>
      <c r="BA24" s="69"/>
      <c r="BB24" s="69"/>
      <c r="BC24" s="69"/>
      <c r="BD24" s="69"/>
      <c r="BE24" s="69"/>
      <c r="BF24" s="69"/>
      <c r="BG24" s="69"/>
      <c r="BH24" s="69"/>
      <c r="BI24" s="69"/>
      <c r="BJ24" s="69"/>
      <c r="BK24" s="69"/>
      <c r="BL24" s="69"/>
      <c r="BM24" s="69"/>
      <c r="BN24" s="69"/>
      <c r="BO24" s="69"/>
      <c r="BP24" s="69"/>
      <c r="BQ24" s="69"/>
      <c r="BR24" s="69"/>
      <c r="BS24" s="69"/>
      <c r="BT24" s="69"/>
      <c r="BU24" s="69"/>
      <c r="BV24" s="69"/>
      <c r="BW24" s="69"/>
    </row>
    <row r="25" spans="3:75" ht="12.75" customHeight="1">
      <c r="C25" s="1" t="s">
        <v>104</v>
      </c>
      <c r="D25" s="1"/>
      <c r="E25" s="326">
        <f>71974-69341</f>
        <v>2633</v>
      </c>
      <c r="F25" s="326"/>
      <c r="G25" s="326">
        <v>2497</v>
      </c>
      <c r="H25" s="1"/>
      <c r="I25" s="326">
        <v>2366</v>
      </c>
      <c r="J25" s="1"/>
      <c r="K25" s="326">
        <v>2290</v>
      </c>
      <c r="L25" s="7"/>
      <c r="M25" s="7"/>
      <c r="N25" s="85"/>
      <c r="O25" s="85"/>
      <c r="P25" s="75"/>
      <c r="Q25" s="85"/>
      <c r="R25" s="69"/>
      <c r="S25" s="69"/>
      <c r="T25" s="69"/>
      <c r="U25" s="69"/>
      <c r="V25" s="69"/>
      <c r="W25" s="69"/>
      <c r="X25" s="69"/>
      <c r="Y25" s="69"/>
      <c r="Z25" s="69"/>
      <c r="AA25" s="69"/>
      <c r="AB25" s="69"/>
      <c r="AC25" s="69"/>
      <c r="AD25" s="69"/>
      <c r="AE25" s="69"/>
      <c r="AF25" s="69"/>
      <c r="AG25" s="69"/>
      <c r="AH25" s="69"/>
      <c r="AI25" s="69"/>
      <c r="AJ25" s="69"/>
      <c r="AK25" s="69"/>
      <c r="AL25" s="69"/>
      <c r="AM25" s="69"/>
      <c r="AN25" s="69"/>
      <c r="AO25" s="69"/>
      <c r="AP25" s="69"/>
      <c r="AQ25" s="69"/>
      <c r="AR25" s="69"/>
      <c r="AS25" s="69"/>
      <c r="AT25" s="69"/>
      <c r="AU25" s="69"/>
      <c r="AV25" s="69"/>
      <c r="AW25" s="69"/>
      <c r="AX25" s="69"/>
      <c r="AY25" s="69"/>
      <c r="AZ25" s="69"/>
      <c r="BA25" s="69"/>
      <c r="BB25" s="69"/>
      <c r="BC25" s="69"/>
      <c r="BD25" s="69"/>
      <c r="BE25" s="69"/>
      <c r="BF25" s="69"/>
      <c r="BG25" s="69"/>
      <c r="BH25" s="69"/>
      <c r="BI25" s="69"/>
      <c r="BJ25" s="69"/>
      <c r="BK25" s="69"/>
      <c r="BL25" s="69"/>
      <c r="BM25" s="69"/>
      <c r="BN25" s="69"/>
      <c r="BO25" s="69"/>
      <c r="BP25" s="69"/>
      <c r="BQ25" s="69"/>
      <c r="BR25" s="69"/>
      <c r="BS25" s="69"/>
      <c r="BT25" s="69"/>
      <c r="BU25" s="69"/>
      <c r="BV25" s="69"/>
      <c r="BW25" s="69"/>
    </row>
    <row r="26" spans="3:75" ht="12.75" customHeight="1" thickBot="1">
      <c r="C26" s="1" t="s">
        <v>173</v>
      </c>
      <c r="D26" s="1"/>
      <c r="E26" s="408">
        <f>SUM(E14:E25)</f>
        <v>71954</v>
      </c>
      <c r="F26" s="1"/>
      <c r="G26" s="408">
        <f>SUM(G14:G25)</f>
        <v>71020</v>
      </c>
      <c r="H26" s="1"/>
      <c r="I26" s="408">
        <f>SUM(I14:I25)</f>
        <v>69774</v>
      </c>
      <c r="J26" s="1"/>
      <c r="K26" s="408">
        <f>SUM(K14:K25)</f>
        <v>67135</v>
      </c>
      <c r="L26" s="7"/>
      <c r="M26" s="7"/>
      <c r="N26" s="105"/>
      <c r="O26" s="105"/>
      <c r="P26" s="75"/>
      <c r="Q26" s="105"/>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69"/>
      <c r="BD26" s="69"/>
      <c r="BE26" s="69"/>
      <c r="BF26" s="69"/>
      <c r="BG26" s="69"/>
      <c r="BH26" s="69"/>
      <c r="BI26" s="69"/>
      <c r="BJ26" s="69"/>
      <c r="BK26" s="69"/>
      <c r="BL26" s="69"/>
      <c r="BM26" s="69"/>
      <c r="BN26" s="69"/>
      <c r="BO26" s="69"/>
      <c r="BP26" s="69"/>
      <c r="BQ26" s="69"/>
      <c r="BR26" s="69"/>
      <c r="BS26" s="69"/>
      <c r="BT26" s="69"/>
      <c r="BU26" s="69"/>
      <c r="BV26" s="69"/>
      <c r="BW26" s="69"/>
    </row>
    <row r="27" spans="3:75" ht="4.5" customHeight="1" thickTop="1">
      <c r="C27" s="1"/>
      <c r="D27" s="1"/>
      <c r="E27" s="42"/>
      <c r="F27" s="42"/>
      <c r="G27" s="42"/>
      <c r="H27" s="1"/>
      <c r="I27" s="42"/>
      <c r="J27" s="1"/>
      <c r="K27" s="42"/>
      <c r="L27" s="7"/>
      <c r="M27" s="7"/>
      <c r="N27" s="75"/>
      <c r="O27" s="75"/>
      <c r="P27" s="75"/>
      <c r="Q27" s="105"/>
      <c r="R27" s="69"/>
      <c r="S27" s="69"/>
      <c r="T27" s="69"/>
      <c r="U27" s="69"/>
      <c r="V27" s="69"/>
      <c r="W27" s="69"/>
      <c r="X27" s="69"/>
      <c r="Y27" s="69"/>
      <c r="Z27" s="69"/>
      <c r="AA27" s="69"/>
      <c r="AB27" s="69"/>
      <c r="AC27" s="69"/>
      <c r="AD27" s="69"/>
      <c r="AE27" s="69"/>
      <c r="AF27" s="69"/>
      <c r="AG27" s="69"/>
      <c r="AH27" s="69"/>
      <c r="AI27" s="69"/>
      <c r="AJ27" s="69"/>
      <c r="AK27" s="69"/>
      <c r="AL27" s="69"/>
      <c r="AM27" s="69"/>
      <c r="AN27" s="69"/>
      <c r="AO27" s="69"/>
      <c r="AP27" s="69"/>
      <c r="AQ27" s="69"/>
      <c r="AR27" s="69"/>
      <c r="AS27" s="69"/>
      <c r="AT27" s="69"/>
      <c r="AU27" s="69"/>
      <c r="AV27" s="69"/>
      <c r="AW27" s="69"/>
      <c r="AX27" s="69"/>
      <c r="AY27" s="69"/>
      <c r="AZ27" s="69"/>
      <c r="BA27" s="69"/>
      <c r="BB27" s="69"/>
      <c r="BC27" s="69"/>
      <c r="BD27" s="69"/>
      <c r="BE27" s="69"/>
      <c r="BF27" s="69"/>
      <c r="BG27" s="69"/>
      <c r="BH27" s="69"/>
      <c r="BI27" s="69"/>
      <c r="BJ27" s="69"/>
      <c r="BK27" s="69"/>
      <c r="BL27" s="69"/>
      <c r="BM27" s="69"/>
      <c r="BN27" s="69"/>
      <c r="BO27" s="69"/>
      <c r="BP27" s="69"/>
      <c r="BQ27" s="69"/>
      <c r="BR27" s="69"/>
      <c r="BS27" s="69"/>
      <c r="BT27" s="69"/>
      <c r="BU27" s="69"/>
      <c r="BV27" s="69"/>
      <c r="BW27" s="69"/>
    </row>
    <row r="28" spans="3:75" ht="12.75" customHeight="1">
      <c r="C28" s="178" t="s">
        <v>136</v>
      </c>
      <c r="D28" s="178"/>
      <c r="E28" s="573"/>
      <c r="F28" s="573"/>
      <c r="G28" s="573"/>
      <c r="H28" s="178"/>
      <c r="I28" s="409"/>
      <c r="J28" s="178"/>
      <c r="K28" s="409"/>
      <c r="L28" s="328"/>
      <c r="M28" s="328"/>
      <c r="N28" s="410"/>
      <c r="O28" s="410"/>
      <c r="P28" s="410"/>
      <c r="Q28" s="474"/>
      <c r="R28" s="69"/>
      <c r="S28" s="69"/>
      <c r="T28" s="69"/>
      <c r="U28" s="69"/>
      <c r="V28" s="69"/>
      <c r="W28" s="69"/>
      <c r="X28" s="69"/>
      <c r="Y28" s="69"/>
      <c r="Z28" s="69"/>
      <c r="AA28" s="69"/>
      <c r="AB28" s="69"/>
      <c r="AC28" s="69"/>
      <c r="AD28" s="69"/>
      <c r="AE28" s="69"/>
      <c r="AF28" s="69"/>
      <c r="AG28" s="69"/>
      <c r="AH28" s="69"/>
      <c r="AI28" s="69"/>
      <c r="AJ28" s="69"/>
      <c r="AK28" s="69"/>
      <c r="AL28" s="69"/>
      <c r="AM28" s="69"/>
      <c r="AN28" s="69"/>
      <c r="AO28" s="69"/>
      <c r="AP28" s="69"/>
      <c r="AQ28" s="69"/>
      <c r="AR28" s="69"/>
      <c r="AS28" s="69"/>
      <c r="AT28" s="69"/>
      <c r="AU28" s="69"/>
      <c r="AV28" s="69"/>
      <c r="AW28" s="69"/>
      <c r="AX28" s="69"/>
      <c r="AY28" s="69"/>
      <c r="AZ28" s="69"/>
      <c r="BA28" s="69"/>
      <c r="BB28" s="69"/>
      <c r="BC28" s="69"/>
      <c r="BD28" s="69"/>
      <c r="BE28" s="69"/>
      <c r="BF28" s="69"/>
      <c r="BG28" s="69"/>
      <c r="BH28" s="69"/>
      <c r="BI28" s="69"/>
      <c r="BJ28" s="69"/>
      <c r="BK28" s="69"/>
      <c r="BL28" s="69"/>
      <c r="BM28" s="69"/>
      <c r="BN28" s="69"/>
      <c r="BO28" s="69"/>
      <c r="BP28" s="69"/>
      <c r="BQ28" s="69"/>
      <c r="BR28" s="69"/>
      <c r="BS28" s="69"/>
      <c r="BT28" s="69"/>
      <c r="BU28" s="69"/>
      <c r="BV28" s="69"/>
      <c r="BW28" s="69"/>
    </row>
    <row r="29" spans="3:75" ht="12.75" customHeight="1">
      <c r="C29" s="1" t="s">
        <v>105</v>
      </c>
      <c r="D29" s="1"/>
      <c r="E29" s="103">
        <v>36868</v>
      </c>
      <c r="F29" s="103"/>
      <c r="G29" s="103">
        <v>36123</v>
      </c>
      <c r="H29" s="1"/>
      <c r="I29" s="103">
        <v>35813</v>
      </c>
      <c r="J29" s="1"/>
      <c r="K29" s="103">
        <v>35517</v>
      </c>
      <c r="L29" s="7"/>
      <c r="M29" s="7"/>
      <c r="N29" s="105"/>
      <c r="O29" s="105"/>
      <c r="P29" s="75"/>
      <c r="Q29" s="105"/>
      <c r="R29" s="69"/>
      <c r="S29" s="69"/>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c r="AV29" s="69"/>
      <c r="AW29" s="69"/>
      <c r="AX29" s="69"/>
      <c r="AY29" s="69"/>
      <c r="AZ29" s="69"/>
      <c r="BA29" s="69"/>
      <c r="BB29" s="69"/>
      <c r="BC29" s="69"/>
      <c r="BD29" s="69"/>
      <c r="BE29" s="69"/>
      <c r="BF29" s="69"/>
      <c r="BG29" s="69"/>
      <c r="BH29" s="69"/>
      <c r="BI29" s="69"/>
      <c r="BJ29" s="69"/>
      <c r="BK29" s="69"/>
      <c r="BL29" s="69"/>
      <c r="BM29" s="69"/>
      <c r="BN29" s="69"/>
      <c r="BO29" s="69"/>
      <c r="BP29" s="69"/>
      <c r="BQ29" s="69"/>
      <c r="BR29" s="69"/>
      <c r="BS29" s="69"/>
      <c r="BT29" s="69"/>
      <c r="BU29" s="69"/>
      <c r="BV29" s="69"/>
      <c r="BW29" s="69"/>
    </row>
    <row r="30" spans="3:75" ht="12.75" customHeight="1">
      <c r="C30" s="1" t="s">
        <v>106</v>
      </c>
      <c r="D30" s="1"/>
      <c r="E30" s="326">
        <v>6542</v>
      </c>
      <c r="F30" s="326"/>
      <c r="G30" s="326">
        <v>7001</v>
      </c>
      <c r="H30" s="1"/>
      <c r="I30" s="326">
        <v>6670</v>
      </c>
      <c r="J30" s="1"/>
      <c r="K30" s="326">
        <v>6437</v>
      </c>
      <c r="L30" s="7"/>
      <c r="M30" s="7"/>
      <c r="N30" s="85"/>
      <c r="O30" s="85"/>
      <c r="P30" s="75"/>
      <c r="Q30" s="85"/>
      <c r="R30" s="69"/>
      <c r="S30" s="69"/>
      <c r="T30" s="69"/>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c r="AV30" s="69"/>
      <c r="AW30" s="69"/>
      <c r="AX30" s="69"/>
      <c r="AY30" s="69"/>
      <c r="AZ30" s="69"/>
      <c r="BA30" s="69"/>
      <c r="BB30" s="69"/>
      <c r="BC30" s="69"/>
      <c r="BD30" s="69"/>
      <c r="BE30" s="69"/>
      <c r="BF30" s="69"/>
      <c r="BG30" s="69"/>
      <c r="BH30" s="69"/>
      <c r="BI30" s="69"/>
      <c r="BJ30" s="69"/>
      <c r="BK30" s="69"/>
      <c r="BL30" s="69"/>
      <c r="BM30" s="69"/>
      <c r="BN30" s="69"/>
      <c r="BO30" s="69"/>
      <c r="BP30" s="69"/>
      <c r="BQ30" s="69"/>
      <c r="BR30" s="69"/>
      <c r="BS30" s="69"/>
      <c r="BT30" s="69"/>
      <c r="BU30" s="69"/>
      <c r="BV30" s="69"/>
      <c r="BW30" s="69"/>
    </row>
    <row r="31" spans="3:75" ht="12.75" customHeight="1">
      <c r="C31" s="1" t="s">
        <v>107</v>
      </c>
      <c r="D31" s="1"/>
      <c r="E31" s="326">
        <v>527</v>
      </c>
      <c r="F31" s="326"/>
      <c r="G31" s="326">
        <v>521</v>
      </c>
      <c r="H31" s="1"/>
      <c r="I31" s="326">
        <v>521</v>
      </c>
      <c r="J31" s="1"/>
      <c r="K31" s="326">
        <v>518</v>
      </c>
      <c r="L31" s="7"/>
      <c r="M31" s="7"/>
      <c r="N31" s="85"/>
      <c r="O31" s="85"/>
      <c r="P31" s="75"/>
      <c r="Q31" s="85"/>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69"/>
      <c r="BM31" s="69"/>
      <c r="BN31" s="69"/>
      <c r="BO31" s="69"/>
      <c r="BP31" s="69"/>
      <c r="BQ31" s="69"/>
      <c r="BR31" s="69"/>
      <c r="BS31" s="69"/>
      <c r="BT31" s="69"/>
      <c r="BU31" s="69"/>
      <c r="BV31" s="69"/>
      <c r="BW31" s="69"/>
    </row>
    <row r="32" spans="3:75" ht="12.75" customHeight="1">
      <c r="C32" s="1" t="s">
        <v>108</v>
      </c>
      <c r="D32" s="1"/>
      <c r="E32" s="326">
        <v>2592</v>
      </c>
      <c r="F32" s="326"/>
      <c r="G32" s="326">
        <v>2690</v>
      </c>
      <c r="H32" s="1"/>
      <c r="I32" s="326">
        <v>2511</v>
      </c>
      <c r="J32" s="1"/>
      <c r="K32" s="326">
        <v>2449</v>
      </c>
      <c r="L32" s="7"/>
      <c r="M32" s="7"/>
      <c r="N32" s="85"/>
      <c r="O32" s="85"/>
      <c r="P32" s="75"/>
      <c r="Q32" s="85"/>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69"/>
      <c r="AS32" s="69"/>
      <c r="AT32" s="69"/>
      <c r="AU32" s="69"/>
      <c r="AV32" s="69"/>
      <c r="AW32" s="69"/>
      <c r="AX32" s="69"/>
      <c r="AY32" s="69"/>
      <c r="AZ32" s="69"/>
      <c r="BA32" s="69"/>
      <c r="BB32" s="69"/>
      <c r="BC32" s="69"/>
      <c r="BD32" s="69"/>
      <c r="BE32" s="69"/>
      <c r="BF32" s="69"/>
      <c r="BG32" s="69"/>
      <c r="BH32" s="69"/>
      <c r="BI32" s="69"/>
      <c r="BJ32" s="69"/>
      <c r="BK32" s="69"/>
      <c r="BL32" s="69"/>
      <c r="BM32" s="69"/>
      <c r="BN32" s="69"/>
      <c r="BO32" s="69"/>
      <c r="BP32" s="69"/>
      <c r="BQ32" s="69"/>
      <c r="BR32" s="69"/>
      <c r="BS32" s="69"/>
      <c r="BT32" s="69"/>
      <c r="BU32" s="69"/>
      <c r="BV32" s="69"/>
      <c r="BW32" s="69"/>
    </row>
    <row r="33" spans="3:75" ht="12.75" customHeight="1">
      <c r="C33" s="1" t="s">
        <v>218</v>
      </c>
      <c r="D33" s="1"/>
      <c r="E33" s="326">
        <v>355</v>
      </c>
      <c r="F33" s="326"/>
      <c r="G33" s="326">
        <v>363</v>
      </c>
      <c r="H33" s="1"/>
      <c r="I33" s="326">
        <v>327</v>
      </c>
      <c r="J33" s="1"/>
      <c r="K33" s="326">
        <v>335</v>
      </c>
      <c r="L33" s="7"/>
      <c r="M33" s="7"/>
      <c r="N33" s="85"/>
      <c r="O33" s="85"/>
      <c r="P33" s="75"/>
      <c r="Q33" s="85"/>
      <c r="R33" s="69"/>
      <c r="S33" s="69"/>
      <c r="T33" s="69"/>
      <c r="U33" s="69"/>
      <c r="V33" s="69"/>
      <c r="W33" s="69"/>
      <c r="X33" s="69"/>
      <c r="Y33" s="69"/>
      <c r="Z33" s="69"/>
      <c r="AA33" s="69"/>
      <c r="AB33" s="69"/>
      <c r="AC33" s="69"/>
      <c r="AD33" s="69"/>
      <c r="AE33" s="69"/>
      <c r="AF33" s="69"/>
      <c r="AG33" s="69"/>
      <c r="AH33" s="69"/>
      <c r="AI33" s="69"/>
      <c r="AJ33" s="69"/>
      <c r="AK33" s="69"/>
      <c r="AL33" s="69"/>
      <c r="AM33" s="69"/>
      <c r="AN33" s="69"/>
      <c r="AO33" s="69"/>
      <c r="AP33" s="69"/>
      <c r="AQ33" s="69"/>
      <c r="AR33" s="69"/>
      <c r="AS33" s="69"/>
      <c r="AT33" s="69"/>
      <c r="AU33" s="69"/>
      <c r="AV33" s="69"/>
      <c r="AW33" s="69"/>
      <c r="AX33" s="69"/>
      <c r="AY33" s="69"/>
      <c r="AZ33" s="69"/>
      <c r="BA33" s="69"/>
      <c r="BB33" s="69"/>
      <c r="BC33" s="69"/>
      <c r="BD33" s="69"/>
      <c r="BE33" s="69"/>
      <c r="BF33" s="69"/>
      <c r="BG33" s="69"/>
      <c r="BH33" s="69"/>
      <c r="BI33" s="69"/>
      <c r="BJ33" s="69"/>
      <c r="BK33" s="69"/>
      <c r="BL33" s="69"/>
      <c r="BM33" s="69"/>
      <c r="BN33" s="69"/>
      <c r="BO33" s="69"/>
      <c r="BP33" s="69"/>
      <c r="BQ33" s="69"/>
      <c r="BR33" s="69"/>
      <c r="BS33" s="69"/>
      <c r="BT33" s="69"/>
      <c r="BU33" s="69"/>
      <c r="BV33" s="69"/>
      <c r="BW33" s="69"/>
    </row>
    <row r="34" spans="3:75" ht="12.75" customHeight="1">
      <c r="C34" s="1" t="s">
        <v>264</v>
      </c>
      <c r="D34" s="1"/>
      <c r="E34" s="326">
        <v>2301</v>
      </c>
      <c r="F34" s="326"/>
      <c r="G34" s="326">
        <v>2811</v>
      </c>
      <c r="H34" s="1"/>
      <c r="I34" s="326">
        <v>2905</v>
      </c>
      <c r="J34" s="1"/>
      <c r="K34" s="326">
        <v>2171</v>
      </c>
      <c r="L34" s="7"/>
      <c r="M34" s="7"/>
      <c r="N34" s="85"/>
      <c r="O34" s="85"/>
      <c r="P34" s="75"/>
      <c r="Q34" s="85"/>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69"/>
      <c r="BR34" s="69"/>
      <c r="BS34" s="69"/>
      <c r="BT34" s="69"/>
      <c r="BU34" s="69"/>
      <c r="BV34" s="69"/>
      <c r="BW34" s="69"/>
    </row>
    <row r="35" spans="3:75" ht="12.75" customHeight="1">
      <c r="C35" s="1" t="s">
        <v>322</v>
      </c>
      <c r="D35" s="1"/>
      <c r="E35" s="326">
        <v>2407</v>
      </c>
      <c r="F35" s="326"/>
      <c r="G35" s="326">
        <v>2257</v>
      </c>
      <c r="H35" s="1"/>
      <c r="I35" s="326">
        <v>1338</v>
      </c>
      <c r="J35" s="1"/>
      <c r="K35" s="326">
        <v>1286</v>
      </c>
      <c r="L35" s="7"/>
      <c r="M35" s="7"/>
      <c r="N35" s="85"/>
      <c r="O35" s="85"/>
      <c r="P35" s="75"/>
      <c r="Q35" s="85"/>
      <c r="R35" s="69"/>
      <c r="S35" s="69"/>
      <c r="T35" s="69"/>
      <c r="U35" s="69"/>
      <c r="V35" s="69"/>
      <c r="W35" s="69"/>
      <c r="X35" s="69"/>
      <c r="Y35" s="69"/>
      <c r="Z35" s="69"/>
      <c r="AA35" s="69"/>
      <c r="AB35" s="69"/>
      <c r="AC35" s="69"/>
      <c r="AD35" s="69"/>
      <c r="AE35" s="69"/>
      <c r="AF35" s="69"/>
      <c r="AG35" s="69"/>
      <c r="AH35" s="69"/>
      <c r="AI35" s="69"/>
      <c r="AJ35" s="69"/>
      <c r="AK35" s="69"/>
      <c r="AL35" s="69"/>
      <c r="AM35" s="69"/>
      <c r="AN35" s="69"/>
      <c r="AO35" s="69"/>
      <c r="AP35" s="69"/>
      <c r="AQ35" s="69"/>
      <c r="AR35" s="69"/>
      <c r="AS35" s="69"/>
      <c r="AT35" s="69"/>
      <c r="AU35" s="69"/>
      <c r="AV35" s="69"/>
      <c r="AW35" s="69"/>
      <c r="AX35" s="69"/>
      <c r="AY35" s="69"/>
      <c r="AZ35" s="69"/>
      <c r="BA35" s="69"/>
      <c r="BB35" s="69"/>
      <c r="BC35" s="69"/>
      <c r="BD35" s="69"/>
      <c r="BE35" s="69"/>
      <c r="BF35" s="69"/>
      <c r="BG35" s="69"/>
      <c r="BH35" s="69"/>
      <c r="BI35" s="69"/>
      <c r="BJ35" s="69"/>
      <c r="BK35" s="69"/>
      <c r="BL35" s="69"/>
      <c r="BM35" s="69"/>
      <c r="BN35" s="69"/>
      <c r="BO35" s="69"/>
      <c r="BP35" s="69"/>
      <c r="BQ35" s="69"/>
      <c r="BR35" s="69"/>
      <c r="BS35" s="69"/>
      <c r="BT35" s="69"/>
      <c r="BU35" s="69"/>
      <c r="BV35" s="69"/>
      <c r="BW35" s="69"/>
    </row>
    <row r="36" spans="3:75" ht="12.75" customHeight="1">
      <c r="C36" s="1" t="s">
        <v>109</v>
      </c>
      <c r="D36" s="531"/>
      <c r="E36" s="326">
        <v>1689</v>
      </c>
      <c r="F36" s="326"/>
      <c r="G36" s="326">
        <v>1445</v>
      </c>
      <c r="H36" s="1"/>
      <c r="I36" s="326">
        <v>1514</v>
      </c>
      <c r="J36" s="1"/>
      <c r="K36" s="326">
        <v>1541</v>
      </c>
      <c r="L36" s="7"/>
      <c r="M36" s="7"/>
      <c r="N36" s="85"/>
      <c r="O36" s="85"/>
      <c r="P36" s="75"/>
      <c r="Q36" s="85"/>
      <c r="R36" s="69"/>
      <c r="S36" s="69"/>
      <c r="T36" s="69"/>
      <c r="U36" s="69"/>
      <c r="V36" s="69"/>
      <c r="W36" s="69"/>
      <c r="X36" s="69"/>
      <c r="Y36" s="69"/>
      <c r="Z36" s="69"/>
      <c r="AA36" s="69"/>
      <c r="AB36" s="69"/>
      <c r="AC36" s="69"/>
      <c r="AD36" s="69"/>
      <c r="AE36" s="69"/>
      <c r="AF36" s="69"/>
      <c r="AG36" s="69"/>
      <c r="AH36" s="69"/>
      <c r="AI36" s="69"/>
      <c r="AJ36" s="69"/>
      <c r="AK36" s="69"/>
      <c r="AL36" s="69"/>
      <c r="AM36" s="69"/>
      <c r="AN36" s="69"/>
      <c r="AO36" s="69"/>
      <c r="AP36" s="69"/>
      <c r="AQ36" s="69"/>
      <c r="AR36" s="69"/>
      <c r="AS36" s="69"/>
      <c r="AT36" s="69"/>
      <c r="AU36" s="69"/>
      <c r="AV36" s="69"/>
      <c r="AW36" s="69"/>
      <c r="AX36" s="69"/>
      <c r="AY36" s="69"/>
      <c r="AZ36" s="69"/>
      <c r="BA36" s="69"/>
      <c r="BB36" s="69"/>
      <c r="BC36" s="69"/>
      <c r="BD36" s="69"/>
      <c r="BE36" s="69"/>
      <c r="BF36" s="69"/>
      <c r="BG36" s="69"/>
      <c r="BH36" s="69"/>
      <c r="BI36" s="69"/>
      <c r="BJ36" s="69"/>
      <c r="BK36" s="69"/>
      <c r="BL36" s="69"/>
      <c r="BM36" s="69"/>
      <c r="BN36" s="69"/>
      <c r="BO36" s="69"/>
      <c r="BP36" s="69"/>
      <c r="BQ36" s="69"/>
      <c r="BR36" s="69"/>
      <c r="BS36" s="69"/>
      <c r="BT36" s="69"/>
      <c r="BU36" s="69"/>
      <c r="BV36" s="69"/>
      <c r="BW36" s="69"/>
    </row>
    <row r="37" spans="3:75" ht="12.75" customHeight="1">
      <c r="C37" s="1" t="s">
        <v>354</v>
      </c>
      <c r="D37" s="1"/>
      <c r="E37" s="326">
        <v>174</v>
      </c>
      <c r="F37" s="326"/>
      <c r="G37" s="326">
        <v>168</v>
      </c>
      <c r="H37" s="1"/>
      <c r="I37" s="326">
        <v>265</v>
      </c>
      <c r="J37" s="1"/>
      <c r="K37" s="326">
        <v>156</v>
      </c>
      <c r="L37" s="7"/>
      <c r="M37" s="7"/>
      <c r="N37" s="85"/>
      <c r="O37" s="85"/>
      <c r="P37" s="75"/>
      <c r="Q37" s="85"/>
      <c r="R37" s="69"/>
      <c r="S37" s="69"/>
      <c r="T37" s="69"/>
      <c r="U37" s="69"/>
      <c r="V37" s="69"/>
      <c r="W37" s="69"/>
      <c r="X37" s="69"/>
      <c r="Y37" s="69"/>
      <c r="Z37" s="69"/>
      <c r="AA37" s="69"/>
      <c r="AB37" s="69"/>
      <c r="AC37" s="69"/>
      <c r="AD37" s="69"/>
      <c r="AE37" s="69"/>
      <c r="AF37" s="69"/>
      <c r="AG37" s="69"/>
      <c r="AH37" s="69"/>
      <c r="AI37" s="69"/>
      <c r="AJ37" s="69"/>
      <c r="AK37" s="69"/>
      <c r="AL37" s="69"/>
      <c r="AM37" s="69"/>
      <c r="AN37" s="69"/>
      <c r="AO37" s="69"/>
      <c r="AP37" s="69"/>
      <c r="AQ37" s="69"/>
      <c r="AR37" s="69"/>
      <c r="AS37" s="69"/>
      <c r="AT37" s="69"/>
      <c r="AU37" s="69"/>
      <c r="AV37" s="69"/>
      <c r="AW37" s="69"/>
      <c r="AX37" s="69"/>
      <c r="AY37" s="69"/>
      <c r="AZ37" s="69"/>
      <c r="BA37" s="69"/>
      <c r="BB37" s="69"/>
      <c r="BC37" s="69"/>
      <c r="BD37" s="69"/>
      <c r="BE37" s="69"/>
      <c r="BF37" s="69"/>
      <c r="BG37" s="69"/>
      <c r="BH37" s="69"/>
      <c r="BI37" s="69"/>
      <c r="BJ37" s="69"/>
      <c r="BK37" s="69"/>
      <c r="BL37" s="69"/>
      <c r="BM37" s="69"/>
      <c r="BN37" s="69"/>
      <c r="BO37" s="69"/>
      <c r="BP37" s="69"/>
      <c r="BQ37" s="69"/>
      <c r="BR37" s="69"/>
      <c r="BS37" s="69"/>
      <c r="BT37" s="69"/>
      <c r="BU37" s="69"/>
      <c r="BV37" s="69"/>
      <c r="BW37" s="69"/>
    </row>
    <row r="38" spans="3:75" ht="12.75" customHeight="1">
      <c r="C38" s="1" t="s">
        <v>110</v>
      </c>
      <c r="D38" s="1"/>
      <c r="E38" s="326">
        <v>87</v>
      </c>
      <c r="F38" s="326"/>
      <c r="G38" s="326">
        <v>85</v>
      </c>
      <c r="H38" s="1"/>
      <c r="I38" s="326">
        <v>581</v>
      </c>
      <c r="J38" s="1"/>
      <c r="K38" s="326">
        <v>578</v>
      </c>
      <c r="L38" s="7"/>
      <c r="M38" s="7"/>
      <c r="N38" s="85"/>
      <c r="O38" s="85"/>
      <c r="P38" s="75"/>
      <c r="Q38" s="85"/>
      <c r="R38" s="69"/>
      <c r="S38" s="69"/>
      <c r="T38" s="69"/>
      <c r="U38" s="69"/>
      <c r="V38" s="69"/>
      <c r="W38" s="69"/>
      <c r="X38" s="69"/>
      <c r="Y38" s="69"/>
      <c r="Z38" s="69"/>
      <c r="AA38" s="69"/>
      <c r="AB38" s="69"/>
      <c r="AC38" s="69"/>
      <c r="AD38" s="69"/>
      <c r="AE38" s="69"/>
      <c r="AF38" s="69"/>
      <c r="AG38" s="69"/>
      <c r="AH38" s="69"/>
      <c r="AI38" s="69"/>
      <c r="AJ38" s="69"/>
      <c r="AK38" s="69"/>
      <c r="AL38" s="69"/>
      <c r="AM38" s="69"/>
      <c r="AN38" s="69"/>
      <c r="AO38" s="69"/>
      <c r="AP38" s="69"/>
      <c r="AQ38" s="69"/>
      <c r="AR38" s="69"/>
      <c r="AS38" s="69"/>
      <c r="AT38" s="69"/>
      <c r="AU38" s="69"/>
      <c r="AV38" s="69"/>
      <c r="AW38" s="69"/>
      <c r="AX38" s="69"/>
      <c r="AY38" s="69"/>
      <c r="AZ38" s="69"/>
      <c r="BA38" s="69"/>
      <c r="BB38" s="69"/>
      <c r="BC38" s="69"/>
      <c r="BD38" s="69"/>
      <c r="BE38" s="69"/>
      <c r="BF38" s="69"/>
      <c r="BG38" s="69"/>
      <c r="BH38" s="69"/>
      <c r="BI38" s="69"/>
      <c r="BJ38" s="69"/>
      <c r="BK38" s="69"/>
      <c r="BL38" s="69"/>
      <c r="BM38" s="69"/>
      <c r="BN38" s="69"/>
      <c r="BO38" s="69"/>
      <c r="BP38" s="69"/>
      <c r="BQ38" s="69"/>
      <c r="BR38" s="69"/>
      <c r="BS38" s="69"/>
      <c r="BT38" s="69"/>
      <c r="BU38" s="69"/>
      <c r="BV38" s="69"/>
      <c r="BW38" s="69"/>
    </row>
    <row r="39" spans="3:75" ht="12.75" customHeight="1">
      <c r="C39" s="1" t="s">
        <v>111</v>
      </c>
      <c r="D39" s="1"/>
      <c r="E39" s="326">
        <v>2068</v>
      </c>
      <c r="F39" s="326"/>
      <c r="G39" s="326">
        <v>2063</v>
      </c>
      <c r="H39" s="1"/>
      <c r="I39" s="326">
        <v>2061</v>
      </c>
      <c r="J39" s="1"/>
      <c r="K39" s="326">
        <v>1560</v>
      </c>
      <c r="L39" s="7"/>
      <c r="M39" s="7"/>
      <c r="N39" s="85"/>
      <c r="O39" s="85"/>
      <c r="P39" s="75"/>
      <c r="Q39" s="85"/>
      <c r="R39" s="69"/>
      <c r="S39" s="69"/>
      <c r="T39" s="69"/>
      <c r="U39" s="69"/>
      <c r="V39" s="69"/>
      <c r="W39" s="69"/>
      <c r="X39" s="69"/>
      <c r="Y39" s="69"/>
      <c r="Z39" s="69"/>
      <c r="AA39" s="69"/>
      <c r="AB39" s="69"/>
      <c r="AC39" s="69"/>
      <c r="AD39" s="69"/>
      <c r="AE39" s="69"/>
      <c r="AF39" s="69"/>
      <c r="AG39" s="69"/>
      <c r="AH39" s="69"/>
      <c r="AI39" s="69"/>
      <c r="AJ39" s="69"/>
      <c r="AK39" s="69"/>
      <c r="AL39" s="69"/>
      <c r="AM39" s="69"/>
      <c r="AN39" s="69"/>
      <c r="AO39" s="69"/>
      <c r="AP39" s="69"/>
      <c r="AQ39" s="69"/>
      <c r="AR39" s="69"/>
      <c r="AS39" s="69"/>
      <c r="AT39" s="69"/>
      <c r="AU39" s="69"/>
      <c r="AV39" s="69"/>
      <c r="AW39" s="69"/>
      <c r="AX39" s="69"/>
      <c r="AY39" s="69"/>
      <c r="AZ39" s="69"/>
      <c r="BA39" s="69"/>
      <c r="BB39" s="69"/>
      <c r="BC39" s="69"/>
      <c r="BD39" s="69"/>
      <c r="BE39" s="69"/>
      <c r="BF39" s="69"/>
      <c r="BG39" s="69"/>
      <c r="BH39" s="69"/>
      <c r="BI39" s="69"/>
      <c r="BJ39" s="69"/>
      <c r="BK39" s="69"/>
      <c r="BL39" s="69"/>
      <c r="BM39" s="69"/>
      <c r="BN39" s="69"/>
      <c r="BO39" s="69"/>
      <c r="BP39" s="69"/>
      <c r="BQ39" s="69"/>
      <c r="BR39" s="69"/>
      <c r="BS39" s="69"/>
      <c r="BT39" s="69"/>
      <c r="BU39" s="69"/>
      <c r="BV39" s="69"/>
      <c r="BW39" s="69"/>
    </row>
    <row r="40" spans="3:75" ht="12.75" customHeight="1">
      <c r="C40" s="1" t="s">
        <v>112</v>
      </c>
      <c r="D40" s="1"/>
      <c r="E40" s="326">
        <v>309</v>
      </c>
      <c r="F40" s="326"/>
      <c r="G40" s="326">
        <v>309</v>
      </c>
      <c r="H40" s="1"/>
      <c r="I40" s="326">
        <v>309</v>
      </c>
      <c r="J40" s="1"/>
      <c r="K40" s="326">
        <v>309</v>
      </c>
      <c r="L40" s="7"/>
      <c r="M40" s="7"/>
      <c r="N40" s="85"/>
      <c r="O40" s="85"/>
      <c r="P40" s="75"/>
      <c r="Q40" s="85"/>
      <c r="R40" s="69"/>
      <c r="S40" s="69"/>
      <c r="T40" s="69"/>
      <c r="U40" s="69"/>
      <c r="V40" s="69"/>
      <c r="W40" s="69"/>
      <c r="X40" s="69"/>
      <c r="Y40" s="69"/>
      <c r="Z40" s="69"/>
      <c r="AA40" s="69"/>
      <c r="AB40" s="69"/>
      <c r="AC40" s="69"/>
      <c r="AD40" s="69"/>
      <c r="AE40" s="69"/>
      <c r="AF40" s="69"/>
      <c r="AG40" s="69"/>
      <c r="AH40" s="69"/>
      <c r="AI40" s="69"/>
      <c r="AJ40" s="69"/>
      <c r="AK40" s="69"/>
      <c r="AL40" s="69"/>
      <c r="AM40" s="69"/>
      <c r="AN40" s="69"/>
      <c r="AO40" s="69"/>
      <c r="AP40" s="69"/>
      <c r="AQ40" s="69"/>
      <c r="AR40" s="69"/>
      <c r="AS40" s="69"/>
      <c r="AT40" s="69"/>
      <c r="AU40" s="69"/>
      <c r="AV40" s="69"/>
      <c r="AW40" s="69"/>
      <c r="AX40" s="69"/>
      <c r="AY40" s="69"/>
      <c r="AZ40" s="69"/>
      <c r="BA40" s="69"/>
      <c r="BB40" s="69"/>
      <c r="BC40" s="69"/>
      <c r="BD40" s="69"/>
      <c r="BE40" s="69"/>
      <c r="BF40" s="69"/>
      <c r="BG40" s="69"/>
      <c r="BH40" s="69"/>
      <c r="BI40" s="69"/>
      <c r="BJ40" s="69"/>
      <c r="BK40" s="69"/>
      <c r="BL40" s="69"/>
      <c r="BM40" s="69"/>
      <c r="BN40" s="69"/>
      <c r="BO40" s="69"/>
      <c r="BP40" s="69"/>
      <c r="BQ40" s="69"/>
      <c r="BR40" s="69"/>
      <c r="BS40" s="69"/>
      <c r="BT40" s="69"/>
      <c r="BU40" s="69"/>
      <c r="BV40" s="69"/>
      <c r="BW40" s="69"/>
    </row>
    <row r="41" spans="3:75" ht="12.75" customHeight="1">
      <c r="C41" s="1" t="s">
        <v>113</v>
      </c>
      <c r="D41" s="1"/>
      <c r="E41" s="407">
        <f>SUM(E29:E40)</f>
        <v>55919</v>
      </c>
      <c r="F41" s="326"/>
      <c r="G41" s="407">
        <f>SUM(G29:G40)</f>
        <v>55836</v>
      </c>
      <c r="H41" s="1"/>
      <c r="I41" s="407">
        <f>SUM(I29:I40)</f>
        <v>54815</v>
      </c>
      <c r="J41" s="1"/>
      <c r="K41" s="407">
        <f>SUM(K29:K40)</f>
        <v>52857</v>
      </c>
      <c r="L41" s="7"/>
      <c r="M41" s="7"/>
      <c r="N41" s="326"/>
      <c r="O41" s="326"/>
      <c r="P41" s="75"/>
      <c r="Q41" s="326"/>
      <c r="R41" s="69"/>
      <c r="S41" s="69"/>
      <c r="T41" s="69"/>
      <c r="U41" s="69"/>
      <c r="V41" s="69"/>
      <c r="W41" s="69"/>
      <c r="X41" s="69"/>
      <c r="Y41" s="69"/>
      <c r="Z41" s="69"/>
      <c r="AA41" s="69"/>
      <c r="AB41" s="69"/>
      <c r="AC41" s="69"/>
      <c r="AD41" s="69"/>
      <c r="AE41" s="69"/>
      <c r="AF41" s="69"/>
      <c r="AG41" s="69"/>
      <c r="AH41" s="69"/>
      <c r="AI41" s="69"/>
      <c r="AJ41" s="69"/>
      <c r="AK41" s="69"/>
      <c r="AL41" s="69"/>
      <c r="AM41" s="69"/>
      <c r="AN41" s="69"/>
      <c r="AO41" s="69"/>
      <c r="AP41" s="69"/>
      <c r="AQ41" s="69"/>
      <c r="AR41" s="69"/>
      <c r="AS41" s="69"/>
      <c r="AT41" s="69"/>
      <c r="AU41" s="69"/>
      <c r="AV41" s="69"/>
      <c r="AW41" s="69"/>
      <c r="AX41" s="69"/>
      <c r="AY41" s="69"/>
      <c r="AZ41" s="69"/>
      <c r="BA41" s="69"/>
      <c r="BB41" s="69"/>
      <c r="BC41" s="69"/>
      <c r="BD41" s="69"/>
      <c r="BE41" s="69"/>
      <c r="BF41" s="69"/>
      <c r="BG41" s="69"/>
      <c r="BH41" s="69"/>
      <c r="BI41" s="69"/>
      <c r="BJ41" s="69"/>
      <c r="BK41" s="69"/>
      <c r="BL41" s="69"/>
      <c r="BM41" s="69"/>
      <c r="BN41" s="69"/>
      <c r="BO41" s="69"/>
      <c r="BP41" s="69"/>
      <c r="BQ41" s="69"/>
      <c r="BR41" s="69"/>
      <c r="BS41" s="69"/>
      <c r="BT41" s="69"/>
      <c r="BU41" s="69"/>
      <c r="BV41" s="69"/>
      <c r="BW41" s="69"/>
    </row>
    <row r="42" spans="3:75" ht="4.5" customHeight="1">
      <c r="C42" s="1"/>
      <c r="D42" s="1"/>
      <c r="E42" s="75"/>
      <c r="F42" s="75"/>
      <c r="G42" s="75"/>
      <c r="H42" s="1"/>
      <c r="I42" s="75"/>
      <c r="J42" s="1"/>
      <c r="K42" s="75"/>
      <c r="L42" s="7"/>
      <c r="M42" s="7"/>
      <c r="N42" s="75"/>
      <c r="O42" s="75"/>
      <c r="P42" s="75"/>
      <c r="Q42" s="104"/>
      <c r="R42" s="69"/>
      <c r="S42" s="69"/>
      <c r="T42" s="69"/>
      <c r="U42" s="69"/>
      <c r="V42" s="69"/>
      <c r="W42" s="69"/>
      <c r="X42" s="69"/>
      <c r="Y42" s="69"/>
      <c r="Z42" s="69"/>
      <c r="AA42" s="69"/>
      <c r="AB42" s="69"/>
      <c r="AC42" s="69"/>
      <c r="AD42" s="69"/>
      <c r="AE42" s="69"/>
      <c r="AF42" s="69"/>
      <c r="AG42" s="69"/>
      <c r="AH42" s="69"/>
      <c r="AI42" s="69"/>
      <c r="AJ42" s="69"/>
      <c r="AK42" s="69"/>
      <c r="AL42" s="69"/>
      <c r="AM42" s="69"/>
      <c r="AN42" s="69"/>
      <c r="AO42" s="69"/>
      <c r="AP42" s="69"/>
      <c r="AQ42" s="69"/>
      <c r="AR42" s="69"/>
      <c r="AS42" s="69"/>
      <c r="AT42" s="69"/>
      <c r="AU42" s="69"/>
      <c r="AV42" s="69"/>
      <c r="AW42" s="69"/>
      <c r="AX42" s="69"/>
      <c r="AY42" s="69"/>
      <c r="AZ42" s="69"/>
      <c r="BA42" s="69"/>
      <c r="BB42" s="69"/>
      <c r="BC42" s="69"/>
      <c r="BD42" s="69"/>
      <c r="BE42" s="69"/>
      <c r="BF42" s="69"/>
      <c r="BG42" s="69"/>
      <c r="BH42" s="69"/>
      <c r="BI42" s="69"/>
      <c r="BJ42" s="69"/>
      <c r="BK42" s="69"/>
      <c r="BL42" s="69"/>
      <c r="BM42" s="69"/>
      <c r="BN42" s="69"/>
      <c r="BO42" s="69"/>
      <c r="BP42" s="69"/>
      <c r="BQ42" s="69"/>
      <c r="BR42" s="69"/>
      <c r="BS42" s="69"/>
      <c r="BT42" s="69"/>
      <c r="BU42" s="69"/>
      <c r="BV42" s="69"/>
      <c r="BW42" s="69"/>
    </row>
    <row r="43" spans="3:75" ht="12.75" customHeight="1">
      <c r="C43" s="178" t="s">
        <v>114</v>
      </c>
      <c r="D43" s="178"/>
      <c r="E43" s="573"/>
      <c r="F43" s="573"/>
      <c r="G43" s="573"/>
      <c r="H43" s="178"/>
      <c r="I43" s="409"/>
      <c r="J43" s="178"/>
      <c r="K43" s="409"/>
      <c r="L43" s="328"/>
      <c r="M43" s="328"/>
      <c r="N43" s="410"/>
      <c r="O43" s="410"/>
      <c r="P43" s="410"/>
      <c r="Q43" s="474"/>
      <c r="R43" s="69"/>
      <c r="S43" s="69"/>
      <c r="T43" s="69"/>
      <c r="U43" s="69"/>
      <c r="V43" s="69"/>
      <c r="W43" s="69"/>
      <c r="X43" s="69"/>
      <c r="Y43" s="69"/>
      <c r="Z43" s="69"/>
      <c r="AA43" s="69"/>
      <c r="AB43" s="69"/>
      <c r="AC43" s="69"/>
      <c r="AD43" s="69"/>
      <c r="AE43" s="69"/>
      <c r="AF43" s="69"/>
      <c r="AG43" s="69"/>
      <c r="AH43" s="69"/>
      <c r="AI43" s="69"/>
      <c r="AJ43" s="69"/>
      <c r="AK43" s="69"/>
      <c r="AL43" s="69"/>
      <c r="AM43" s="69"/>
      <c r="AN43" s="69"/>
      <c r="AO43" s="69"/>
      <c r="AP43" s="69"/>
      <c r="AQ43" s="69"/>
      <c r="AR43" s="69"/>
      <c r="AS43" s="69"/>
      <c r="AT43" s="69"/>
      <c r="AU43" s="69"/>
      <c r="AV43" s="69"/>
      <c r="AW43" s="69"/>
      <c r="AX43" s="69"/>
      <c r="AY43" s="69"/>
      <c r="AZ43" s="69"/>
      <c r="BA43" s="69"/>
      <c r="BB43" s="69"/>
      <c r="BC43" s="69"/>
      <c r="BD43" s="69"/>
      <c r="BE43" s="69"/>
      <c r="BF43" s="69"/>
      <c r="BG43" s="69"/>
      <c r="BH43" s="69"/>
      <c r="BI43" s="69"/>
      <c r="BJ43" s="69"/>
      <c r="BK43" s="69"/>
      <c r="BL43" s="69"/>
      <c r="BM43" s="69"/>
      <c r="BN43" s="69"/>
      <c r="BO43" s="69"/>
      <c r="BP43" s="69"/>
      <c r="BQ43" s="69"/>
      <c r="BR43" s="69"/>
      <c r="BS43" s="69"/>
      <c r="BT43" s="69"/>
      <c r="BU43" s="69"/>
      <c r="BV43" s="69"/>
      <c r="BW43" s="69"/>
    </row>
    <row r="44" spans="3:75" ht="12.75" customHeight="1">
      <c r="C44" s="76" t="s">
        <v>43</v>
      </c>
      <c r="D44" s="76"/>
      <c r="E44" s="326">
        <f>16035-E45</f>
        <v>15379</v>
      </c>
      <c r="F44" s="326"/>
      <c r="G44" s="326">
        <f>15184-G45</f>
        <v>14781</v>
      </c>
      <c r="H44" s="76"/>
      <c r="I44" s="326">
        <f>14959-I45</f>
        <v>14181</v>
      </c>
      <c r="J44" s="76"/>
      <c r="K44" s="326">
        <f>14278-K45</f>
        <v>13562</v>
      </c>
      <c r="L44" s="101"/>
      <c r="M44" s="101"/>
      <c r="N44" s="85"/>
      <c r="O44" s="85"/>
      <c r="P44" s="411"/>
      <c r="Q44" s="85"/>
      <c r="R44" s="69"/>
      <c r="S44" s="69"/>
      <c r="T44" s="69"/>
      <c r="U44" s="69"/>
      <c r="V44" s="69"/>
      <c r="W44" s="69"/>
      <c r="X44" s="69"/>
      <c r="Y44" s="69"/>
      <c r="Z44" s="69"/>
      <c r="AA44" s="69"/>
      <c r="AB44" s="69"/>
      <c r="AC44" s="69"/>
      <c r="AD44" s="69"/>
      <c r="AE44" s="69"/>
      <c r="AF44" s="69"/>
      <c r="AG44" s="69"/>
      <c r="AH44" s="69"/>
      <c r="AI44" s="69"/>
      <c r="AJ44" s="69"/>
      <c r="AK44" s="69"/>
      <c r="AL44" s="69"/>
      <c r="AM44" s="69"/>
      <c r="AN44" s="69"/>
      <c r="AO44" s="69"/>
      <c r="AP44" s="69"/>
      <c r="AQ44" s="69"/>
      <c r="AR44" s="69"/>
      <c r="AS44" s="69"/>
      <c r="AT44" s="69"/>
      <c r="AU44" s="69"/>
      <c r="AV44" s="69"/>
      <c r="AW44" s="69"/>
      <c r="AX44" s="69"/>
      <c r="AY44" s="69"/>
      <c r="AZ44" s="69"/>
      <c r="BA44" s="69"/>
      <c r="BB44" s="69"/>
      <c r="BC44" s="69"/>
      <c r="BD44" s="69"/>
      <c r="BE44" s="69"/>
      <c r="BF44" s="69"/>
      <c r="BG44" s="69"/>
      <c r="BH44" s="69"/>
      <c r="BI44" s="69"/>
      <c r="BJ44" s="69"/>
      <c r="BK44" s="69"/>
      <c r="BL44" s="69"/>
      <c r="BM44" s="69"/>
      <c r="BN44" s="69"/>
      <c r="BO44" s="69"/>
      <c r="BP44" s="69"/>
      <c r="BQ44" s="69"/>
      <c r="BR44" s="69"/>
      <c r="BS44" s="69"/>
      <c r="BT44" s="69"/>
      <c r="BU44" s="69"/>
      <c r="BV44" s="69"/>
      <c r="BW44" s="69"/>
    </row>
    <row r="45" spans="3:17" ht="12.75" customHeight="1">
      <c r="C45" s="1" t="s">
        <v>52</v>
      </c>
      <c r="D45" s="1"/>
      <c r="E45" s="326">
        <v>656</v>
      </c>
      <c r="F45" s="326"/>
      <c r="G45" s="326">
        <v>403</v>
      </c>
      <c r="H45" s="1"/>
      <c r="I45" s="326">
        <v>778</v>
      </c>
      <c r="J45" s="1"/>
      <c r="K45" s="326">
        <v>716</v>
      </c>
      <c r="L45" s="7"/>
      <c r="M45" s="7"/>
      <c r="N45" s="85"/>
      <c r="O45" s="85"/>
      <c r="P45" s="75"/>
      <c r="Q45" s="85"/>
    </row>
    <row r="46" spans="3:17" ht="12.75" customHeight="1">
      <c r="C46" s="1" t="s">
        <v>44</v>
      </c>
      <c r="D46" s="1"/>
      <c r="E46" s="412">
        <f>SUM(E44:E45)</f>
        <v>16035</v>
      </c>
      <c r="F46" s="326"/>
      <c r="G46" s="412">
        <f>SUM(G44:G45)</f>
        <v>15184</v>
      </c>
      <c r="H46" s="1"/>
      <c r="I46" s="412">
        <f>SUM(I44:I45)</f>
        <v>14959</v>
      </c>
      <c r="J46" s="1"/>
      <c r="K46" s="412">
        <f>SUM(K44:K45)</f>
        <v>14278</v>
      </c>
      <c r="L46" s="7"/>
      <c r="M46" s="7"/>
      <c r="N46" s="326"/>
      <c r="O46" s="326"/>
      <c r="P46" s="75"/>
      <c r="Q46" s="326"/>
    </row>
    <row r="47" spans="3:17" ht="12.75" customHeight="1" thickBot="1">
      <c r="C47" s="1" t="s">
        <v>69</v>
      </c>
      <c r="D47" s="1"/>
      <c r="E47" s="408">
        <f>E41+E46</f>
        <v>71954</v>
      </c>
      <c r="F47" s="1"/>
      <c r="G47" s="408">
        <f>G41+G46</f>
        <v>71020</v>
      </c>
      <c r="H47" s="1"/>
      <c r="I47" s="408">
        <f>I41+I46</f>
        <v>69774</v>
      </c>
      <c r="J47" s="1"/>
      <c r="K47" s="408">
        <f>K41+K46</f>
        <v>67135</v>
      </c>
      <c r="L47" s="7"/>
      <c r="M47" s="7"/>
      <c r="N47" s="105"/>
      <c r="O47" s="105"/>
      <c r="P47" s="75"/>
      <c r="Q47" s="105"/>
    </row>
    <row r="48" spans="3:17" ht="4.5" customHeight="1" thickTop="1">
      <c r="C48" s="1"/>
      <c r="D48" s="1"/>
      <c r="E48" s="42"/>
      <c r="F48" s="42"/>
      <c r="G48" s="42"/>
      <c r="H48" s="1"/>
      <c r="I48" s="42"/>
      <c r="J48" s="1"/>
      <c r="K48" s="42"/>
      <c r="L48" s="7"/>
      <c r="M48" s="7"/>
      <c r="N48" s="75"/>
      <c r="O48" s="75"/>
      <c r="P48" s="75"/>
      <c r="Q48" s="464"/>
    </row>
    <row r="49" spans="3:17" ht="12.75" customHeight="1">
      <c r="C49" s="221" t="s">
        <v>306</v>
      </c>
      <c r="D49" s="221"/>
      <c r="E49" s="107">
        <f>+'Reconciliation Book Value'!E21</f>
        <v>46.97985418076099</v>
      </c>
      <c r="F49" s="107"/>
      <c r="G49" s="107">
        <f>+'Reconciliation Book Value'!G21</f>
        <v>44.45770404763247</v>
      </c>
      <c r="H49" s="221"/>
      <c r="I49" s="107">
        <f>+'Reconciliation Book Value'!I21</f>
        <v>43.86718039981971</v>
      </c>
      <c r="J49" s="221"/>
      <c r="K49" s="107">
        <f>+'Reconciliation Book Value'!K21</f>
        <v>42.03023488643174</v>
      </c>
      <c r="L49" s="537"/>
      <c r="M49" s="537"/>
      <c r="N49" s="475"/>
      <c r="O49" s="475"/>
      <c r="P49" s="413"/>
      <c r="Q49" s="475"/>
    </row>
    <row r="50" spans="3:17" ht="12.75" customHeight="1">
      <c r="C50" s="221" t="s">
        <v>307</v>
      </c>
      <c r="D50" s="221"/>
      <c r="E50" s="107">
        <f>+'Reconciliation Book Value'!E22</f>
        <v>38.690541493872615</v>
      </c>
      <c r="F50" s="107"/>
      <c r="G50" s="107">
        <f>+'Reconciliation Book Value'!G22</f>
        <v>36.15702791759321</v>
      </c>
      <c r="H50" s="221"/>
      <c r="I50" s="107">
        <f>+'Reconciliation Book Value'!I22</f>
        <v>35.54880311389361</v>
      </c>
      <c r="J50" s="221"/>
      <c r="K50" s="107">
        <f>+'Reconciliation Book Value'!K22</f>
        <v>33.664622214261705</v>
      </c>
      <c r="L50" s="537"/>
      <c r="M50" s="537"/>
      <c r="N50" s="475"/>
      <c r="O50" s="475"/>
      <c r="P50" s="413"/>
      <c r="Q50" s="475"/>
    </row>
    <row r="51" spans="13:17" ht="6.75" customHeight="1">
      <c r="M51" s="81"/>
      <c r="P51" s="81"/>
      <c r="Q51" s="106"/>
    </row>
    <row r="52" spans="3:17" ht="12.75" customHeight="1">
      <c r="C52" s="526" t="str">
        <f>+'Financial Highlights'!C49</f>
        <v>(1) See page 21 Non-GAAP Financial Measures.</v>
      </c>
      <c r="D52" s="526"/>
      <c r="E52" s="458"/>
      <c r="F52" s="458"/>
      <c r="G52" s="458"/>
      <c r="H52" s="348"/>
      <c r="I52" s="348"/>
      <c r="J52" s="348"/>
      <c r="K52" s="348"/>
      <c r="L52" s="348"/>
      <c r="M52" s="81"/>
      <c r="Q52" s="105"/>
    </row>
    <row r="53" spans="5:14" ht="12.75" customHeight="1">
      <c r="E53" s="568"/>
      <c r="F53" s="568"/>
      <c r="G53" s="568"/>
      <c r="M53" s="81"/>
      <c r="N53" s="359"/>
    </row>
    <row r="54" spans="5:13" ht="12.75" customHeight="1">
      <c r="E54" s="568"/>
      <c r="M54" s="81"/>
    </row>
    <row r="55" spans="5:13" ht="12.75" customHeight="1">
      <c r="E55" s="568"/>
      <c r="M55" s="81"/>
    </row>
    <row r="56" ht="12.75" customHeight="1">
      <c r="M56" s="81"/>
    </row>
    <row r="57" ht="12.75" customHeight="1">
      <c r="M57" s="81"/>
    </row>
    <row r="58" ht="12.75" customHeight="1">
      <c r="M58" s="81"/>
    </row>
    <row r="59" ht="12.75" customHeight="1">
      <c r="M59" s="81"/>
    </row>
    <row r="60" ht="12.75" customHeight="1">
      <c r="M60" s="81"/>
    </row>
    <row r="61" ht="12.75" customHeight="1">
      <c r="M61" s="81"/>
    </row>
    <row r="62" ht="12.75" customHeight="1">
      <c r="M62" s="81"/>
    </row>
    <row r="63" ht="12.75" customHeight="1">
      <c r="M63" s="81"/>
    </row>
    <row r="64" ht="12.75" customHeight="1"/>
    <row r="65" ht="12.75" customHeight="1"/>
    <row r="66" ht="12.75" customHeight="1"/>
    <row r="67" ht="12.75" customHeight="1"/>
    <row r="68" ht="12.75" customHeight="1"/>
    <row r="69" ht="12.75" customHeight="1"/>
    <row r="70" ht="12.75" customHeight="1"/>
    <row r="71" ht="12.75" customHeight="1"/>
    <row r="72" ht="12.75" customHeight="1"/>
  </sheetData>
  <mergeCells count="3">
    <mergeCell ref="C1:O1"/>
    <mergeCell ref="C3:O3"/>
    <mergeCell ref="C2:O2"/>
  </mergeCells>
  <conditionalFormatting sqref="E26">
    <cfRule type="cellIs" priority="1" dxfId="0" operator="notEqual" stopIfTrue="1">
      <formula>$E$47</formula>
    </cfRule>
  </conditionalFormatting>
  <conditionalFormatting sqref="E47">
    <cfRule type="cellIs" priority="2" dxfId="0" operator="notEqual" stopIfTrue="1">
      <formula>E26</formula>
    </cfRule>
  </conditionalFormatting>
  <hyperlinks>
    <hyperlink ref="C52" location="'Reconciliation Non-GAAP'!Print_Area" display="'Reconciliation Non-GAAP'!Print_Area"/>
  </hyperlinks>
  <printOptions/>
  <pageMargins left="0.5" right="0.5" top="0.5" bottom="0.55" header="0.75" footer="0.3"/>
  <pageSetup fitToHeight="1" fitToWidth="1" horizontalDpi="600" verticalDpi="600" orientation="landscape" scale="86" r:id="rId2"/>
  <headerFooter alignWithMargins="0">
    <oddFooter>&amp;L&amp;A&amp;R&amp;"Arial,Regular"&amp;8Page 3</oddFooter>
  </headerFooter>
  <drawing r:id="rId1"/>
</worksheet>
</file>

<file path=xl/worksheets/sheet6.xml><?xml version="1.0" encoding="utf-8"?>
<worksheet xmlns="http://schemas.openxmlformats.org/spreadsheetml/2006/main" xmlns:r="http://schemas.openxmlformats.org/officeDocument/2006/relationships">
  <sheetPr codeName="Sheet33"/>
  <dimension ref="A1:AJ30"/>
  <sheetViews>
    <sheetView workbookViewId="0" topLeftCell="A1">
      <selection activeCell="A1" sqref="A1:W1"/>
    </sheetView>
  </sheetViews>
  <sheetFormatPr defaultColWidth="9.33203125" defaultRowHeight="12.75"/>
  <cols>
    <col min="1" max="2" width="3.33203125" style="1" customWidth="1"/>
    <col min="3" max="3" width="18.5" style="1" customWidth="1"/>
    <col min="4" max="4" width="3.66015625" style="1" customWidth="1"/>
    <col min="5" max="5" width="8.33203125" style="1" customWidth="1"/>
    <col min="6" max="6" width="2.83203125" style="1" customWidth="1"/>
    <col min="7" max="7" width="8.33203125" style="1" customWidth="1"/>
    <col min="8" max="8" width="2.83203125" style="1" customWidth="1"/>
    <col min="9" max="9" width="8.33203125" style="1" customWidth="1"/>
    <col min="10" max="10" width="2.83203125" style="1" customWidth="1"/>
    <col min="11" max="11" width="8.33203125" style="1" customWidth="1"/>
    <col min="12" max="12" width="2.83203125" style="1" customWidth="1"/>
    <col min="13" max="13" width="8.33203125" style="1" customWidth="1"/>
    <col min="14" max="14" width="2.83203125" style="1" customWidth="1"/>
    <col min="15" max="15" width="8.33203125" style="1" customWidth="1"/>
    <col min="16" max="16" width="2.83203125" style="1" customWidth="1"/>
    <col min="17" max="17" width="8.33203125" style="1" customWidth="1"/>
    <col min="18" max="18" width="2.83203125" style="1" customWidth="1"/>
    <col min="19" max="19" width="8.33203125" style="1" customWidth="1"/>
    <col min="20" max="20" width="2.83203125" style="1" customWidth="1"/>
    <col min="21" max="21" width="8.33203125" style="1" customWidth="1"/>
    <col min="22" max="22" width="2.83203125" style="1" customWidth="1"/>
    <col min="23" max="23" width="8.33203125" style="1" customWidth="1"/>
    <col min="24" max="16384" width="9" style="1" customWidth="1"/>
  </cols>
  <sheetData>
    <row r="1" spans="1:23" ht="12.75">
      <c r="A1" s="626" t="s">
        <v>89</v>
      </c>
      <c r="B1" s="626"/>
      <c r="C1" s="626"/>
      <c r="D1" s="626"/>
      <c r="E1" s="626"/>
      <c r="F1" s="626"/>
      <c r="G1" s="626"/>
      <c r="H1" s="626"/>
      <c r="I1" s="626"/>
      <c r="J1" s="626"/>
      <c r="K1" s="626"/>
      <c r="L1" s="626"/>
      <c r="M1" s="626"/>
      <c r="N1" s="626"/>
      <c r="O1" s="626"/>
      <c r="P1" s="626"/>
      <c r="Q1" s="626"/>
      <c r="R1" s="626"/>
      <c r="S1" s="626"/>
      <c r="T1" s="626"/>
      <c r="U1" s="626"/>
      <c r="V1" s="626"/>
      <c r="W1" s="626"/>
    </row>
    <row r="2" spans="1:23" ht="11.25" customHeight="1">
      <c r="A2" s="627" t="s">
        <v>219</v>
      </c>
      <c r="B2" s="627"/>
      <c r="C2" s="627"/>
      <c r="D2" s="627"/>
      <c r="E2" s="627"/>
      <c r="F2" s="627"/>
      <c r="G2" s="627"/>
      <c r="H2" s="627"/>
      <c r="I2" s="627"/>
      <c r="J2" s="627"/>
      <c r="K2" s="627"/>
      <c r="L2" s="627"/>
      <c r="M2" s="627"/>
      <c r="N2" s="627"/>
      <c r="O2" s="627"/>
      <c r="P2" s="627"/>
      <c r="Q2" s="627"/>
      <c r="R2" s="627"/>
      <c r="S2" s="627"/>
      <c r="T2" s="627"/>
      <c r="U2" s="627"/>
      <c r="V2" s="627"/>
      <c r="W2" s="627"/>
    </row>
    <row r="3" spans="1:23" ht="11.25" customHeight="1">
      <c r="A3" s="602" t="s">
        <v>147</v>
      </c>
      <c r="B3" s="602"/>
      <c r="C3" s="602"/>
      <c r="D3" s="602"/>
      <c r="E3" s="602"/>
      <c r="F3" s="602"/>
      <c r="G3" s="602"/>
      <c r="H3" s="602"/>
      <c r="I3" s="602"/>
      <c r="J3" s="602"/>
      <c r="K3" s="602"/>
      <c r="L3" s="602"/>
      <c r="M3" s="602"/>
      <c r="N3" s="602"/>
      <c r="O3" s="602"/>
      <c r="P3" s="602"/>
      <c r="Q3" s="602"/>
      <c r="R3" s="602"/>
      <c r="S3" s="602"/>
      <c r="T3" s="602"/>
      <c r="U3" s="602"/>
      <c r="V3" s="602"/>
      <c r="W3" s="602"/>
    </row>
    <row r="4" spans="1:23" ht="11.25" customHeight="1">
      <c r="A4" s="602" t="s">
        <v>163</v>
      </c>
      <c r="B4" s="602"/>
      <c r="C4" s="602"/>
      <c r="D4" s="602"/>
      <c r="E4" s="602"/>
      <c r="F4" s="602"/>
      <c r="G4" s="602"/>
      <c r="H4" s="602"/>
      <c r="I4" s="602"/>
      <c r="J4" s="602"/>
      <c r="K4" s="602"/>
      <c r="L4" s="602"/>
      <c r="M4" s="602"/>
      <c r="N4" s="602"/>
      <c r="O4" s="602"/>
      <c r="P4" s="602"/>
      <c r="Q4" s="602"/>
      <c r="R4" s="602"/>
      <c r="S4" s="602"/>
      <c r="T4" s="602"/>
      <c r="U4" s="602"/>
      <c r="V4" s="602"/>
      <c r="W4" s="602"/>
    </row>
    <row r="5" ht="12">
      <c r="C5" s="501"/>
    </row>
    <row r="6" spans="3:21" ht="12.75">
      <c r="C6" s="3" t="s">
        <v>164</v>
      </c>
      <c r="I6" s="247"/>
      <c r="M6" s="3"/>
      <c r="O6"/>
      <c r="P6"/>
      <c r="Q6"/>
      <c r="R6" s="42"/>
      <c r="S6" s="42"/>
      <c r="T6" s="42"/>
      <c r="U6" s="42"/>
    </row>
    <row r="7" spans="3:23" ht="12.75">
      <c r="C7" s="3"/>
      <c r="G7" s="2" t="s">
        <v>211</v>
      </c>
      <c r="K7" s="2" t="s">
        <v>211</v>
      </c>
      <c r="M7" s="2" t="s">
        <v>159</v>
      </c>
      <c r="N7" s="7"/>
      <c r="Q7" s="2" t="s">
        <v>211</v>
      </c>
      <c r="U7" s="2" t="s">
        <v>211</v>
      </c>
      <c r="W7" s="2" t="s">
        <v>159</v>
      </c>
    </row>
    <row r="8" spans="4:23" ht="11.25">
      <c r="D8" s="2"/>
      <c r="E8" s="21"/>
      <c r="F8" s="121"/>
      <c r="G8" s="2" t="s">
        <v>117</v>
      </c>
      <c r="H8" s="121"/>
      <c r="I8" s="21"/>
      <c r="J8" s="121"/>
      <c r="K8" s="2" t="s">
        <v>117</v>
      </c>
      <c r="L8" s="121"/>
      <c r="M8" s="2" t="s">
        <v>440</v>
      </c>
      <c r="N8" s="7"/>
      <c r="O8" s="21" t="s">
        <v>255</v>
      </c>
      <c r="P8" s="121"/>
      <c r="Q8" s="2" t="s">
        <v>117</v>
      </c>
      <c r="R8" s="121"/>
      <c r="S8" s="21" t="s">
        <v>255</v>
      </c>
      <c r="T8" s="121"/>
      <c r="U8" s="2" t="s">
        <v>117</v>
      </c>
      <c r="V8" s="121"/>
      <c r="W8" s="2" t="s">
        <v>416</v>
      </c>
    </row>
    <row r="9" spans="4:23" ht="11.25">
      <c r="D9" s="5"/>
      <c r="E9" s="4" t="s">
        <v>441</v>
      </c>
      <c r="F9" s="29"/>
      <c r="G9" s="4" t="s">
        <v>96</v>
      </c>
      <c r="H9" s="29"/>
      <c r="I9" s="4" t="s">
        <v>351</v>
      </c>
      <c r="J9" s="29"/>
      <c r="K9" s="4" t="s">
        <v>96</v>
      </c>
      <c r="L9" s="29"/>
      <c r="M9" s="494" t="s">
        <v>351</v>
      </c>
      <c r="N9" s="7"/>
      <c r="O9" s="269" t="s">
        <v>378</v>
      </c>
      <c r="P9" s="29"/>
      <c r="Q9" s="4" t="s">
        <v>96</v>
      </c>
      <c r="R9" s="29"/>
      <c r="S9" s="269" t="s">
        <v>320</v>
      </c>
      <c r="T9" s="29"/>
      <c r="U9" s="4" t="s">
        <v>96</v>
      </c>
      <c r="V9" s="29"/>
      <c r="W9" s="494" t="s">
        <v>423</v>
      </c>
    </row>
    <row r="10" spans="3:21" ht="12.75">
      <c r="C10" s="178" t="s">
        <v>125</v>
      </c>
      <c r="D10" s="12"/>
      <c r="E10" s="12"/>
      <c r="F10" s="12"/>
      <c r="G10" s="12"/>
      <c r="H10" s="12"/>
      <c r="I10" s="166"/>
      <c r="J10" s="12"/>
      <c r="K10" s="12"/>
      <c r="L10" s="12"/>
      <c r="M10" s="12"/>
      <c r="N10" s="7"/>
      <c r="O10" s="12"/>
      <c r="P10"/>
      <c r="Q10"/>
      <c r="R10"/>
      <c r="S10" s="166"/>
      <c r="T10"/>
      <c r="U10"/>
    </row>
    <row r="11" spans="3:24" ht="12.75">
      <c r="C11" s="1" t="s">
        <v>15</v>
      </c>
      <c r="D11" s="39"/>
      <c r="E11" s="31">
        <f>+'Segment  2007 Qtr'!M11-E12-E13</f>
        <v>937</v>
      </c>
      <c r="F11" s="39"/>
      <c r="G11" s="240">
        <f>ROUND(+E11/$E$17,2)+1%</f>
        <v>0.34</v>
      </c>
      <c r="H11" s="39"/>
      <c r="I11" s="31">
        <v>892</v>
      </c>
      <c r="J11" s="39"/>
      <c r="K11" s="240">
        <f>ROUND(+I11/$I$17,2)</f>
        <v>0.32</v>
      </c>
      <c r="L11" s="39"/>
      <c r="M11" s="240">
        <f>ROUND(+E11/I11-1,2)</f>
        <v>0.05</v>
      </c>
      <c r="N11" s="75"/>
      <c r="O11" s="31">
        <f>E11+2000</f>
        <v>2937</v>
      </c>
      <c r="P11" s="256"/>
      <c r="Q11" s="240">
        <f>ROUND(+O11/$O$17,2)</f>
        <v>0.32</v>
      </c>
      <c r="R11" s="256"/>
      <c r="S11" s="31">
        <v>2943</v>
      </c>
      <c r="T11" s="256"/>
      <c r="U11" s="239">
        <f>ROUND(+S11/$S$17,2)</f>
        <v>0.32</v>
      </c>
      <c r="V11" s="42"/>
      <c r="W11" s="240">
        <f>ROUND(+O11/S11-1,2)</f>
        <v>0</v>
      </c>
      <c r="X11" s="567"/>
    </row>
    <row r="12" spans="3:24" ht="12.75">
      <c r="C12" s="1" t="s">
        <v>232</v>
      </c>
      <c r="D12" s="39"/>
      <c r="E12" s="401">
        <v>1371</v>
      </c>
      <c r="F12" s="39"/>
      <c r="G12" s="240">
        <f>ROUND(+E12/$E$17,2)</f>
        <v>0.49</v>
      </c>
      <c r="H12" s="39"/>
      <c r="I12" s="401">
        <v>1494</v>
      </c>
      <c r="J12" s="39"/>
      <c r="K12" s="240">
        <f>ROUND(+I12/$I$17,2)</f>
        <v>0.54</v>
      </c>
      <c r="L12" s="39"/>
      <c r="M12" s="240">
        <f aca="true" t="shared" si="0" ref="M12:M17">ROUND(+E12/I12-1,2)</f>
        <v>-0.08</v>
      </c>
      <c r="N12" s="75"/>
      <c r="O12" s="401">
        <f>E12+3326</f>
        <v>4697</v>
      </c>
      <c r="P12" s="256"/>
      <c r="Q12" s="240">
        <f>ROUND(+O12/$O$17,2)</f>
        <v>0.51</v>
      </c>
      <c r="R12" s="256"/>
      <c r="S12" s="401">
        <v>4965</v>
      </c>
      <c r="T12" s="256"/>
      <c r="U12" s="239">
        <f>ROUND(+S12/$S$17,2)</f>
        <v>0.54</v>
      </c>
      <c r="V12" s="42"/>
      <c r="W12" s="240">
        <f>ROUND(+O12/S12-1,2)</f>
        <v>-0.05</v>
      </c>
      <c r="X12" s="567"/>
    </row>
    <row r="13" spans="3:24" ht="12.75">
      <c r="C13" s="1" t="s">
        <v>413</v>
      </c>
      <c r="D13" s="39"/>
      <c r="E13" s="401">
        <v>397</v>
      </c>
      <c r="F13" s="39"/>
      <c r="G13" s="240">
        <f>ROUND(+E13/$E$17,2)</f>
        <v>0.14</v>
      </c>
      <c r="H13" s="39"/>
      <c r="I13" s="401">
        <v>335</v>
      </c>
      <c r="J13" s="39"/>
      <c r="K13" s="240">
        <f>ROUND(+I13/$I$17,2)</f>
        <v>0.12</v>
      </c>
      <c r="L13" s="39"/>
      <c r="M13" s="240">
        <f t="shared" si="0"/>
        <v>0.19</v>
      </c>
      <c r="N13" s="75"/>
      <c r="O13" s="401">
        <f>E13+851</f>
        <v>1248</v>
      </c>
      <c r="P13" s="256"/>
      <c r="Q13" s="240">
        <f>ROUND(+O13/$O$17,2)</f>
        <v>0.14</v>
      </c>
      <c r="R13" s="256"/>
      <c r="S13" s="401">
        <v>1062</v>
      </c>
      <c r="T13" s="256"/>
      <c r="U13" s="566">
        <f>ROUND(+S13/$S$17,2)</f>
        <v>0.12</v>
      </c>
      <c r="V13" s="42"/>
      <c r="W13" s="240">
        <f>ROUND(+O13/S13-1,2)</f>
        <v>0.18</v>
      </c>
      <c r="X13" s="567"/>
    </row>
    <row r="14" spans="3:24" ht="12.75">
      <c r="C14" s="184" t="s">
        <v>226</v>
      </c>
      <c r="D14" s="229"/>
      <c r="E14" s="414">
        <f>SUM(E11:E13)</f>
        <v>2705</v>
      </c>
      <c r="F14" s="229"/>
      <c r="G14" s="244">
        <f>+G11+G12+G13</f>
        <v>0.9700000000000001</v>
      </c>
      <c r="H14" s="229"/>
      <c r="I14" s="415">
        <f>SUM(I11:I13)</f>
        <v>2721</v>
      </c>
      <c r="J14" s="229"/>
      <c r="K14" s="244">
        <f>+K11+K12+K13</f>
        <v>0.9800000000000001</v>
      </c>
      <c r="L14" s="229"/>
      <c r="M14" s="244">
        <f t="shared" si="0"/>
        <v>-0.01</v>
      </c>
      <c r="N14" s="75"/>
      <c r="O14" s="414">
        <f>SUM(O11:O13)</f>
        <v>8882</v>
      </c>
      <c r="P14" s="256"/>
      <c r="Q14" s="244">
        <f>+Q11+Q12+Q13</f>
        <v>0.9700000000000001</v>
      </c>
      <c r="R14" s="256"/>
      <c r="S14" s="414">
        <f>SUM(S11:S13)</f>
        <v>8970</v>
      </c>
      <c r="T14" s="256"/>
      <c r="U14" s="244">
        <f>SUM(U11:U13)</f>
        <v>0.9800000000000001</v>
      </c>
      <c r="V14" s="42"/>
      <c r="W14" s="244">
        <f>ROUND(+O14/S14-1,2)</f>
        <v>-0.01</v>
      </c>
      <c r="X14" s="567"/>
    </row>
    <row r="15" spans="3:24" ht="12.75">
      <c r="C15" s="188"/>
      <c r="D15" s="263"/>
      <c r="E15" s="263"/>
      <c r="F15" s="263"/>
      <c r="G15" s="264"/>
      <c r="H15" s="263"/>
      <c r="I15" s="361"/>
      <c r="J15" s="263"/>
      <c r="K15" s="264"/>
      <c r="L15" s="263"/>
      <c r="M15" s="264"/>
      <c r="N15" s="75"/>
      <c r="O15" s="263"/>
      <c r="P15" s="256"/>
      <c r="Q15" s="264"/>
      <c r="R15" s="256"/>
      <c r="S15" s="263"/>
      <c r="T15" s="256"/>
      <c r="U15" s="445"/>
      <c r="V15" s="42"/>
      <c r="W15" s="264"/>
      <c r="X15" s="567"/>
    </row>
    <row r="16" spans="3:24" ht="11.25" customHeight="1">
      <c r="C16" s="1" t="s">
        <v>120</v>
      </c>
      <c r="D16" s="85"/>
      <c r="E16" s="401">
        <f>+'Segment  2007 Qtr'!O11</f>
        <v>95</v>
      </c>
      <c r="F16" s="85"/>
      <c r="G16" s="240">
        <f>ROUND(+E16/$E$17,2)</f>
        <v>0.03</v>
      </c>
      <c r="H16" s="85"/>
      <c r="I16" s="401">
        <v>69</v>
      </c>
      <c r="J16" s="85"/>
      <c r="K16" s="240">
        <f>ROUND(+I16/$I$17,2)</f>
        <v>0.02</v>
      </c>
      <c r="L16" s="85"/>
      <c r="M16" s="240">
        <f t="shared" si="0"/>
        <v>0.38</v>
      </c>
      <c r="N16" s="75"/>
      <c r="O16" s="401">
        <f>E16+175</f>
        <v>270</v>
      </c>
      <c r="P16" s="256"/>
      <c r="Q16" s="240">
        <f>ROUND(+O16/$O$17,2)</f>
        <v>0.03</v>
      </c>
      <c r="R16" s="256"/>
      <c r="S16" s="401">
        <v>196</v>
      </c>
      <c r="T16" s="256"/>
      <c r="U16" s="566">
        <f>ROUND(+S16/$S$17,2)</f>
        <v>0.02</v>
      </c>
      <c r="V16" s="42"/>
      <c r="W16" s="240">
        <f>ROUND(+O16/S16-1,2)</f>
        <v>0.38</v>
      </c>
      <c r="X16" s="567"/>
    </row>
    <row r="17" spans="3:24" ht="13.5" thickBot="1">
      <c r="C17" s="184" t="s">
        <v>227</v>
      </c>
      <c r="D17" s="229"/>
      <c r="E17" s="402">
        <f>+E14+E16</f>
        <v>2800</v>
      </c>
      <c r="F17" s="229"/>
      <c r="G17" s="276">
        <f>+G14+G16</f>
        <v>1</v>
      </c>
      <c r="H17" s="229"/>
      <c r="I17" s="402">
        <f>+I14+I16</f>
        <v>2790</v>
      </c>
      <c r="J17" s="229"/>
      <c r="K17" s="276">
        <f>+K14+K16</f>
        <v>1</v>
      </c>
      <c r="L17" s="229"/>
      <c r="M17" s="276">
        <f t="shared" si="0"/>
        <v>0</v>
      </c>
      <c r="N17" s="75"/>
      <c r="O17" s="402">
        <f>+O14+O16</f>
        <v>9152</v>
      </c>
      <c r="P17" s="229"/>
      <c r="Q17" s="276">
        <f>+Q14+Q16</f>
        <v>1</v>
      </c>
      <c r="R17" s="256"/>
      <c r="S17" s="402">
        <f>+S14+S16</f>
        <v>9166</v>
      </c>
      <c r="T17" s="229"/>
      <c r="U17" s="276">
        <f>+U14+U16</f>
        <v>1</v>
      </c>
      <c r="V17" s="42"/>
      <c r="W17" s="276">
        <f>ROUND(+O17/S17-1,2)</f>
        <v>0</v>
      </c>
      <c r="X17" s="567"/>
    </row>
    <row r="18" spans="4:24" ht="13.5" thickTop="1">
      <c r="D18" s="40"/>
      <c r="E18" s="40"/>
      <c r="F18" s="85"/>
      <c r="G18" s="85"/>
      <c r="H18" s="85"/>
      <c r="I18" s="40"/>
      <c r="J18" s="85"/>
      <c r="K18" s="85"/>
      <c r="L18" s="85"/>
      <c r="M18" s="40"/>
      <c r="N18" s="75"/>
      <c r="O18" s="40"/>
      <c r="P18" s="256"/>
      <c r="Q18" s="85"/>
      <c r="R18" s="256"/>
      <c r="S18" s="40"/>
      <c r="T18" s="256"/>
      <c r="U18" s="42"/>
      <c r="V18" s="42"/>
      <c r="W18" s="40"/>
      <c r="X18" s="567"/>
    </row>
    <row r="19" spans="4:24" ht="12.75">
      <c r="D19" s="40"/>
      <c r="E19" s="40"/>
      <c r="F19" s="40"/>
      <c r="G19" s="40"/>
      <c r="H19" s="40"/>
      <c r="I19" s="40"/>
      <c r="J19" s="40"/>
      <c r="K19" s="40"/>
      <c r="L19" s="40"/>
      <c r="M19" s="40"/>
      <c r="N19" s="75"/>
      <c r="O19" s="40"/>
      <c r="P19" s="256"/>
      <c r="Q19" s="40"/>
      <c r="R19" s="256"/>
      <c r="S19" s="40"/>
      <c r="T19" s="256"/>
      <c r="U19" s="42"/>
      <c r="V19" s="42"/>
      <c r="W19" s="40"/>
      <c r="X19" s="567"/>
    </row>
    <row r="20" spans="3:24" ht="12.75">
      <c r="C20" s="178" t="s">
        <v>126</v>
      </c>
      <c r="D20" s="85"/>
      <c r="E20" s="85"/>
      <c r="F20" s="85"/>
      <c r="G20" s="42"/>
      <c r="H20" s="85"/>
      <c r="I20" s="85"/>
      <c r="J20" s="85"/>
      <c r="K20" s="42"/>
      <c r="L20" s="85"/>
      <c r="M20" s="85"/>
      <c r="N20" s="85"/>
      <c r="O20" s="85"/>
      <c r="P20" s="256"/>
      <c r="Q20" s="42"/>
      <c r="R20" s="256"/>
      <c r="S20" s="85"/>
      <c r="T20" s="256"/>
      <c r="U20" s="42"/>
      <c r="V20" s="42"/>
      <c r="W20" s="85"/>
      <c r="X20" s="567"/>
    </row>
    <row r="21" spans="3:36" ht="12.75">
      <c r="C21" s="1" t="s">
        <v>15</v>
      </c>
      <c r="D21" s="39"/>
      <c r="E21" s="37">
        <f>+'Segment  2007 Qtr'!M12-E22-E23</f>
        <v>1060</v>
      </c>
      <c r="F21" s="59"/>
      <c r="G21" s="240">
        <f>ROUND(+E21/$E$27,2)</f>
        <v>0.34</v>
      </c>
      <c r="H21" s="59"/>
      <c r="I21" s="37">
        <v>1013</v>
      </c>
      <c r="J21" s="59"/>
      <c r="K21" s="240">
        <f>ROUND(+I21/$I$27,2)</f>
        <v>0.33</v>
      </c>
      <c r="L21" s="59"/>
      <c r="M21" s="240">
        <f>ROUND(+E21/I21-1,2)</f>
        <v>0.05</v>
      </c>
      <c r="N21" s="75"/>
      <c r="O21" s="37">
        <f>E21+1770</f>
        <v>2830</v>
      </c>
      <c r="P21" s="256"/>
      <c r="Q21" s="240">
        <f>ROUND(+O21/$O$27,2)</f>
        <v>0.31</v>
      </c>
      <c r="R21" s="256"/>
      <c r="S21" s="37">
        <v>2694</v>
      </c>
      <c r="T21" s="256"/>
      <c r="U21" s="240">
        <f>ROUND(+S21/$S$27,2)</f>
        <v>0.31</v>
      </c>
      <c r="V21" s="42"/>
      <c r="W21" s="240">
        <f>ROUND(+O21/S21-1,2)</f>
        <v>0.05</v>
      </c>
      <c r="X21" s="567"/>
      <c r="Y21" s="337"/>
      <c r="Z21" s="337"/>
      <c r="AA21" s="337"/>
      <c r="AB21" s="337"/>
      <c r="AC21" s="337"/>
      <c r="AD21" s="337"/>
      <c r="AE21" s="337"/>
      <c r="AF21" s="337"/>
      <c r="AG21" s="337"/>
      <c r="AH21" s="337"/>
      <c r="AI21" s="337"/>
      <c r="AJ21" s="337"/>
    </row>
    <row r="22" spans="3:36" ht="12.75">
      <c r="C22" s="1" t="s">
        <v>232</v>
      </c>
      <c r="D22" s="39"/>
      <c r="E22" s="401">
        <v>1577</v>
      </c>
      <c r="F22" s="39"/>
      <c r="G22" s="240">
        <f>ROUND(+E22/$E$27,2)</f>
        <v>0.5</v>
      </c>
      <c r="H22" s="39"/>
      <c r="I22" s="401">
        <v>1650</v>
      </c>
      <c r="J22" s="39"/>
      <c r="K22" s="240">
        <f>ROUND(+I22/$I$27,2)</f>
        <v>0.53</v>
      </c>
      <c r="L22" s="39"/>
      <c r="M22" s="240">
        <f aca="true" t="shared" si="1" ref="M22:M27">ROUND(+E22/I22-1,2)</f>
        <v>-0.04</v>
      </c>
      <c r="N22" s="75"/>
      <c r="O22" s="401">
        <f>E22+3331</f>
        <v>4908</v>
      </c>
      <c r="P22" s="256"/>
      <c r="Q22" s="240">
        <f>ROUND(+O22/$O$27,2)</f>
        <v>0.53</v>
      </c>
      <c r="R22" s="256"/>
      <c r="S22" s="401">
        <v>4860</v>
      </c>
      <c r="T22" s="256"/>
      <c r="U22" s="240">
        <f>ROUND(+S22/$S$27,2)</f>
        <v>0.55</v>
      </c>
      <c r="V22" s="42"/>
      <c r="W22" s="240">
        <f>ROUND(+O22/S22-1,2)</f>
        <v>0.01</v>
      </c>
      <c r="X22" s="567"/>
      <c r="Y22" s="337"/>
      <c r="Z22" s="337"/>
      <c r="AA22" s="337"/>
      <c r="AB22" s="337"/>
      <c r="AC22" s="337"/>
      <c r="AD22" s="337"/>
      <c r="AE22" s="337"/>
      <c r="AF22" s="337"/>
      <c r="AG22" s="337"/>
      <c r="AH22" s="337"/>
      <c r="AI22" s="337"/>
      <c r="AJ22" s="337"/>
    </row>
    <row r="23" spans="3:36" ht="12.75">
      <c r="C23" s="1" t="s">
        <v>413</v>
      </c>
      <c r="D23" s="39"/>
      <c r="E23" s="401">
        <v>418</v>
      </c>
      <c r="F23" s="39"/>
      <c r="G23" s="240">
        <f>ROUND(+E23/$E$27,2)</f>
        <v>0.13</v>
      </c>
      <c r="H23" s="39"/>
      <c r="I23" s="401">
        <v>356</v>
      </c>
      <c r="J23" s="39"/>
      <c r="K23" s="240">
        <f>ROUND(+I23/$I$27,2)</f>
        <v>0.12</v>
      </c>
      <c r="L23" s="39"/>
      <c r="M23" s="240">
        <f t="shared" si="1"/>
        <v>0.17</v>
      </c>
      <c r="N23" s="75"/>
      <c r="O23" s="401">
        <f>E23+814</f>
        <v>1232</v>
      </c>
      <c r="P23" s="256"/>
      <c r="Q23" s="240">
        <f>ROUND(+O23/$O$27,2)</f>
        <v>0.13</v>
      </c>
      <c r="R23" s="256"/>
      <c r="S23" s="401">
        <v>1049</v>
      </c>
      <c r="T23" s="256"/>
      <c r="U23" s="240">
        <f>ROUND(+S23/$S$27,2)</f>
        <v>0.12</v>
      </c>
      <c r="V23" s="42"/>
      <c r="W23" s="240">
        <f>ROUND(+O23/S23-1,2)</f>
        <v>0.17</v>
      </c>
      <c r="X23" s="567"/>
      <c r="Y23" s="337"/>
      <c r="Z23" s="337"/>
      <c r="AA23" s="337"/>
      <c r="AB23" s="337"/>
      <c r="AC23" s="337"/>
      <c r="AD23" s="337"/>
      <c r="AE23" s="337"/>
      <c r="AF23" s="337"/>
      <c r="AG23" s="337"/>
      <c r="AH23" s="337"/>
      <c r="AI23" s="337"/>
      <c r="AJ23" s="337"/>
    </row>
    <row r="24" spans="3:36" ht="12.75">
      <c r="C24" s="184" t="s">
        <v>226</v>
      </c>
      <c r="D24" s="229"/>
      <c r="E24" s="414">
        <f>SUM(E21:E23)</f>
        <v>3055</v>
      </c>
      <c r="F24" s="229"/>
      <c r="G24" s="244">
        <f>+G21+G22+G23</f>
        <v>0.9700000000000001</v>
      </c>
      <c r="H24" s="229"/>
      <c r="I24" s="415">
        <f>SUM(I21:I23)</f>
        <v>3019</v>
      </c>
      <c r="J24" s="229"/>
      <c r="K24" s="244">
        <f>+K21+K22+K23</f>
        <v>0.9800000000000001</v>
      </c>
      <c r="L24" s="229"/>
      <c r="M24" s="244">
        <f t="shared" si="1"/>
        <v>0.01</v>
      </c>
      <c r="N24" s="75"/>
      <c r="O24" s="414">
        <f>SUM(O21:O23)</f>
        <v>8970</v>
      </c>
      <c r="P24" s="256"/>
      <c r="Q24" s="244">
        <f>+Q21+Q22+Q23</f>
        <v>0.9700000000000001</v>
      </c>
      <c r="R24" s="256"/>
      <c r="S24" s="414">
        <f>SUM(S21:S23)</f>
        <v>8603</v>
      </c>
      <c r="T24" s="256"/>
      <c r="U24" s="244">
        <f>+U21+U22+U23</f>
        <v>0.9800000000000001</v>
      </c>
      <c r="V24" s="42"/>
      <c r="W24" s="244">
        <f>ROUND(+O24/S24-1,2)</f>
        <v>0.04</v>
      </c>
      <c r="X24" s="567"/>
      <c r="Y24" s="337"/>
      <c r="Z24" s="337"/>
      <c r="AA24" s="337"/>
      <c r="AB24" s="337"/>
      <c r="AC24" s="337"/>
      <c r="AD24" s="337"/>
      <c r="AE24" s="337"/>
      <c r="AF24" s="337"/>
      <c r="AG24" s="337"/>
      <c r="AH24" s="337"/>
      <c r="AI24" s="337"/>
      <c r="AJ24" s="337"/>
    </row>
    <row r="25" spans="3:36" ht="12.75">
      <c r="C25" s="188"/>
      <c r="D25" s="263"/>
      <c r="E25" s="263"/>
      <c r="F25" s="263"/>
      <c r="G25" s="264"/>
      <c r="H25" s="263"/>
      <c r="I25" s="263"/>
      <c r="J25" s="263"/>
      <c r="K25" s="264"/>
      <c r="L25" s="263"/>
      <c r="M25" s="264"/>
      <c r="N25" s="75"/>
      <c r="O25" s="263"/>
      <c r="P25" s="256"/>
      <c r="Q25" s="264"/>
      <c r="R25" s="256"/>
      <c r="S25" s="263"/>
      <c r="T25" s="256"/>
      <c r="U25" s="563"/>
      <c r="V25" s="42"/>
      <c r="W25" s="264"/>
      <c r="X25" s="567"/>
      <c r="Y25" s="337"/>
      <c r="Z25" s="337"/>
      <c r="AA25" s="337"/>
      <c r="AB25" s="337"/>
      <c r="AC25" s="337"/>
      <c r="AD25" s="337"/>
      <c r="AE25" s="337"/>
      <c r="AF25" s="337"/>
      <c r="AG25" s="337"/>
      <c r="AH25" s="337"/>
      <c r="AI25" s="337"/>
      <c r="AJ25" s="337"/>
    </row>
    <row r="26" spans="3:36" ht="12.75">
      <c r="C26" s="1" t="s">
        <v>120</v>
      </c>
      <c r="D26" s="85"/>
      <c r="E26" s="401">
        <f>+'Segment  2007 Qtr'!O12</f>
        <v>95</v>
      </c>
      <c r="F26" s="85"/>
      <c r="G26" s="240">
        <f>ROUND(+E26/$E$27,2)</f>
        <v>0.03</v>
      </c>
      <c r="H26" s="85"/>
      <c r="I26" s="401">
        <v>69</v>
      </c>
      <c r="J26" s="85"/>
      <c r="K26" s="240">
        <f>ROUND(+I26/$I$27,2)</f>
        <v>0.02</v>
      </c>
      <c r="L26" s="85"/>
      <c r="M26" s="240">
        <f t="shared" si="1"/>
        <v>0.38</v>
      </c>
      <c r="N26" s="75"/>
      <c r="O26" s="400">
        <f>E26+175</f>
        <v>270</v>
      </c>
      <c r="P26" s="256"/>
      <c r="Q26" s="240">
        <f>ROUND(+O26/$O$27,2)</f>
        <v>0.03</v>
      </c>
      <c r="R26" s="256"/>
      <c r="S26" s="400">
        <v>196</v>
      </c>
      <c r="T26" s="256"/>
      <c r="U26" s="240">
        <f>ROUND(+S26/$S$27,2)</f>
        <v>0.02</v>
      </c>
      <c r="V26" s="42"/>
      <c r="W26" s="240">
        <f>ROUND(+O26/S26-1,2)</f>
        <v>0.38</v>
      </c>
      <c r="X26" s="567"/>
      <c r="Y26" s="337"/>
      <c r="Z26" s="337"/>
      <c r="AA26" s="337"/>
      <c r="AB26" s="337"/>
      <c r="AC26" s="337"/>
      <c r="AD26" s="337"/>
      <c r="AE26" s="337"/>
      <c r="AF26" s="337"/>
      <c r="AG26" s="337"/>
      <c r="AH26" s="337"/>
      <c r="AI26" s="337"/>
      <c r="AJ26" s="337"/>
    </row>
    <row r="27" spans="3:36" ht="13.5" thickBot="1">
      <c r="C27" s="184" t="s">
        <v>227</v>
      </c>
      <c r="D27" s="229"/>
      <c r="E27" s="402">
        <f>+E24+E26</f>
        <v>3150</v>
      </c>
      <c r="F27" s="229"/>
      <c r="G27" s="276">
        <f>+G24+G26</f>
        <v>1</v>
      </c>
      <c r="H27" s="229"/>
      <c r="I27" s="402">
        <f>+I24+I26</f>
        <v>3088</v>
      </c>
      <c r="J27" s="229"/>
      <c r="K27" s="276">
        <f>+K24+K26</f>
        <v>1</v>
      </c>
      <c r="L27" s="229"/>
      <c r="M27" s="276">
        <f t="shared" si="1"/>
        <v>0.02</v>
      </c>
      <c r="N27" s="75"/>
      <c r="O27" s="402">
        <f>+O24+O26</f>
        <v>9240</v>
      </c>
      <c r="P27" s="229"/>
      <c r="Q27" s="276">
        <f>+Q24+Q26</f>
        <v>1</v>
      </c>
      <c r="R27" s="256"/>
      <c r="S27" s="402">
        <f>+S24+S26</f>
        <v>8799</v>
      </c>
      <c r="T27" s="229"/>
      <c r="U27" s="276">
        <f>+U24+U26</f>
        <v>1</v>
      </c>
      <c r="V27" s="42"/>
      <c r="W27" s="276">
        <f>ROUND(+O27/S27-1,2)</f>
        <v>0.05</v>
      </c>
      <c r="X27" s="567"/>
      <c r="Y27" s="337"/>
      <c r="Z27" s="337"/>
      <c r="AA27" s="337"/>
      <c r="AB27" s="337"/>
      <c r="AC27" s="337"/>
      <c r="AD27" s="337"/>
      <c r="AE27" s="337"/>
      <c r="AF27" s="337"/>
      <c r="AG27" s="337"/>
      <c r="AH27" s="337"/>
      <c r="AI27" s="337"/>
      <c r="AJ27" s="337"/>
    </row>
    <row r="28" spans="4:14" ht="12" thickTop="1">
      <c r="D28" s="40"/>
      <c r="E28" s="40"/>
      <c r="F28" s="40"/>
      <c r="G28" s="85"/>
      <c r="H28" s="40"/>
      <c r="I28" s="40"/>
      <c r="J28" s="40"/>
      <c r="K28" s="40"/>
      <c r="L28" s="42"/>
      <c r="M28" s="17"/>
      <c r="N28" s="42"/>
    </row>
    <row r="29" spans="4:13" ht="11.25">
      <c r="D29" s="9"/>
      <c r="E29" s="9"/>
      <c r="F29" s="9"/>
      <c r="G29" s="9"/>
      <c r="H29" s="9"/>
      <c r="I29" s="9"/>
      <c r="J29" s="9"/>
      <c r="K29" s="9"/>
      <c r="M29" s="240"/>
    </row>
    <row r="30" spans="4:11" ht="11.25">
      <c r="D30" s="9"/>
      <c r="E30" s="9"/>
      <c r="F30" s="9"/>
      <c r="G30" s="9"/>
      <c r="H30" s="9"/>
      <c r="I30" s="9"/>
      <c r="J30" s="9"/>
      <c r="K30" s="9"/>
    </row>
  </sheetData>
  <mergeCells count="4">
    <mergeCell ref="A1:W1"/>
    <mergeCell ref="A2:W2"/>
    <mergeCell ref="A3:W3"/>
    <mergeCell ref="A4:W4"/>
  </mergeCells>
  <conditionalFormatting sqref="G27 K27 G17 K17 Q17 U17 Q27 U27">
    <cfRule type="cellIs" priority="1" dxfId="1" operator="notEqual" stopIfTrue="1">
      <formula>1</formula>
    </cfRule>
  </conditionalFormatting>
  <hyperlinks>
    <hyperlink ref="E17" location="'Financial Highlights'!E12" display="'Financial Highlights'!E12"/>
    <hyperlink ref="E27" location="'Financial Highlights'!E14" display="'Financial Highlights'!E14"/>
    <hyperlink ref="I17" location="'Financial Highlights'!G12" display="'Financial Highlights'!G12"/>
    <hyperlink ref="I27" location="'Financial Highlights'!G14" display="'Financial Highlights'!G14"/>
    <hyperlink ref="O17" location="'Financial Highlights'!E12" display="'Financial Highlights'!E12"/>
    <hyperlink ref="S17" location="'Financial Highlights'!E12" display="'Financial Highlights'!E12"/>
    <hyperlink ref="O27" location="'Financial Highlights'!E14" display="'Financial Highlights'!E14"/>
    <hyperlink ref="S27" location="'Financial Highlights'!E14" display="'Financial Highlights'!E14"/>
  </hyperlinks>
  <printOptions/>
  <pageMargins left="0.5" right="0.5" top="0.5" bottom="0.55" header="0.75" footer="0.3"/>
  <pageSetup horizontalDpi="600" verticalDpi="600" orientation="landscape" r:id="rId2"/>
  <headerFooter alignWithMargins="0">
    <oddFooter>&amp;L&amp;A&amp;R&amp;"Arial,Regular"&amp;8Page 4</oddFooter>
  </headerFooter>
  <drawing r:id="rId1"/>
</worksheet>
</file>

<file path=xl/worksheets/sheet7.xml><?xml version="1.0" encoding="utf-8"?>
<worksheet xmlns="http://schemas.openxmlformats.org/spreadsheetml/2006/main" xmlns:r="http://schemas.openxmlformats.org/officeDocument/2006/relationships">
  <sheetPr codeName="Sheet10">
    <pageSetUpPr fitToPage="1"/>
  </sheetPr>
  <dimension ref="C1:T60"/>
  <sheetViews>
    <sheetView workbookViewId="0" topLeftCell="A1">
      <selection activeCell="A1" sqref="A1"/>
    </sheetView>
  </sheetViews>
  <sheetFormatPr defaultColWidth="9.33203125" defaultRowHeight="12.75"/>
  <cols>
    <col min="1" max="2" width="3.33203125" style="1" customWidth="1"/>
    <col min="3" max="3" width="42.5" style="1" customWidth="1"/>
    <col min="4" max="4" width="1.171875" style="1" customWidth="1"/>
    <col min="5" max="5" width="8.33203125" style="9" customWidth="1"/>
    <col min="6" max="6" width="3.83203125" style="9" customWidth="1"/>
    <col min="7" max="7" width="8.33203125" style="363" customWidth="1"/>
    <col min="8" max="8" width="3.83203125" style="28" customWidth="1"/>
    <col min="9" max="9" width="8.33203125" style="40" customWidth="1"/>
    <col min="10" max="10" width="3.83203125" style="9" customWidth="1"/>
    <col min="11" max="11" width="8.33203125" style="9" customWidth="1"/>
    <col min="12" max="12" width="3" style="9" customWidth="1"/>
    <col min="13" max="13" width="8.33203125" style="9" customWidth="1"/>
    <col min="14" max="14" width="4.83203125" style="9" customWidth="1"/>
    <col min="15" max="15" width="8.33203125" style="9" customWidth="1"/>
    <col min="16" max="16" width="4.83203125" style="9" customWidth="1"/>
    <col min="17" max="17" width="8.33203125" style="1" customWidth="1"/>
    <col min="18" max="18" width="1.5" style="1" customWidth="1"/>
    <col min="19" max="16384" width="9.33203125" style="1" customWidth="1"/>
  </cols>
  <sheetData>
    <row r="1" spans="3:18" ht="12.75">
      <c r="C1" s="88" t="s">
        <v>89</v>
      </c>
      <c r="D1" s="88"/>
      <c r="E1" s="88"/>
      <c r="F1" s="88"/>
      <c r="G1" s="446"/>
      <c r="H1" s="88"/>
      <c r="I1" s="446"/>
      <c r="J1" s="88"/>
      <c r="K1" s="88"/>
      <c r="L1" s="88"/>
      <c r="M1" s="88"/>
      <c r="N1" s="88"/>
      <c r="O1" s="88"/>
      <c r="P1" s="88"/>
      <c r="Q1" s="88"/>
      <c r="R1" s="87"/>
    </row>
    <row r="2" spans="3:18" ht="12">
      <c r="C2" s="89" t="s">
        <v>72</v>
      </c>
      <c r="D2" s="89"/>
      <c r="E2" s="89"/>
      <c r="F2" s="89"/>
      <c r="G2" s="447"/>
      <c r="H2" s="89"/>
      <c r="I2" s="447"/>
      <c r="J2" s="89"/>
      <c r="K2" s="89"/>
      <c r="L2" s="89"/>
      <c r="M2" s="89"/>
      <c r="N2" s="89"/>
      <c r="O2" s="89"/>
      <c r="P2" s="89"/>
      <c r="Q2" s="89"/>
      <c r="R2" s="87"/>
    </row>
    <row r="3" spans="3:18" ht="12">
      <c r="C3" s="89" t="s">
        <v>443</v>
      </c>
      <c r="D3" s="89"/>
      <c r="E3" s="89"/>
      <c r="F3" s="89"/>
      <c r="G3" s="447"/>
      <c r="H3" s="89"/>
      <c r="I3" s="447"/>
      <c r="J3" s="89"/>
      <c r="K3" s="89"/>
      <c r="L3" s="89"/>
      <c r="M3" s="89"/>
      <c r="N3" s="89"/>
      <c r="O3" s="89"/>
      <c r="P3" s="89"/>
      <c r="Q3" s="89"/>
      <c r="R3" s="87"/>
    </row>
    <row r="4" spans="3:18" ht="12">
      <c r="C4" s="90" t="s">
        <v>147</v>
      </c>
      <c r="D4" s="90"/>
      <c r="E4" s="90"/>
      <c r="F4" s="90"/>
      <c r="G4" s="260"/>
      <c r="H4" s="90"/>
      <c r="I4" s="260"/>
      <c r="J4" s="90"/>
      <c r="K4" s="90"/>
      <c r="L4" s="90"/>
      <c r="M4" s="90"/>
      <c r="N4" s="90"/>
      <c r="O4" s="90"/>
      <c r="P4" s="90"/>
      <c r="Q4" s="90"/>
      <c r="R4" s="87"/>
    </row>
    <row r="5" spans="3:18" ht="12">
      <c r="C5" s="90" t="s">
        <v>163</v>
      </c>
      <c r="D5" s="90"/>
      <c r="E5" s="90"/>
      <c r="F5" s="90"/>
      <c r="G5" s="260"/>
      <c r="H5" s="90"/>
      <c r="I5" s="260"/>
      <c r="J5" s="90"/>
      <c r="K5" s="90"/>
      <c r="L5" s="90"/>
      <c r="M5" s="90"/>
      <c r="N5" s="90"/>
      <c r="O5" s="90"/>
      <c r="P5" s="90"/>
      <c r="Q5" s="90"/>
      <c r="R5" s="87"/>
    </row>
    <row r="6" spans="3:18" ht="10.5" customHeight="1">
      <c r="C6" s="500"/>
      <c r="D6" s="2"/>
      <c r="E6" s="2" t="s">
        <v>155</v>
      </c>
      <c r="F6" s="2"/>
      <c r="G6" s="253" t="s">
        <v>155</v>
      </c>
      <c r="H6" s="2"/>
      <c r="I6" s="253"/>
      <c r="J6" s="2"/>
      <c r="K6" s="2"/>
      <c r="L6" s="2"/>
      <c r="M6" s="2"/>
      <c r="N6" s="2"/>
      <c r="O6" s="2"/>
      <c r="P6" s="2"/>
      <c r="Q6" s="2"/>
      <c r="R6" s="2"/>
    </row>
    <row r="7" spans="3:17" ht="10.5" customHeight="1">
      <c r="C7" s="43"/>
      <c r="D7" s="43"/>
      <c r="E7" s="44" t="s">
        <v>91</v>
      </c>
      <c r="F7" s="44"/>
      <c r="G7" s="448" t="s">
        <v>92</v>
      </c>
      <c r="H7" s="44"/>
      <c r="I7" s="448" t="s">
        <v>93</v>
      </c>
      <c r="J7" s="44"/>
      <c r="K7" s="44" t="s">
        <v>84</v>
      </c>
      <c r="L7" s="44"/>
      <c r="M7" s="44" t="s">
        <v>96</v>
      </c>
      <c r="N7" s="44"/>
      <c r="O7" s="162" t="s">
        <v>341</v>
      </c>
      <c r="P7" s="44"/>
      <c r="Q7" s="44" t="s">
        <v>90</v>
      </c>
    </row>
    <row r="8" spans="4:18" ht="10.5" customHeight="1">
      <c r="D8" s="162"/>
      <c r="E8" s="162" t="s">
        <v>156</v>
      </c>
      <c r="F8" s="162"/>
      <c r="G8" s="449" t="s">
        <v>94</v>
      </c>
      <c r="H8" s="162"/>
      <c r="I8" s="449" t="s">
        <v>95</v>
      </c>
      <c r="J8" s="162"/>
      <c r="K8" s="162" t="s">
        <v>158</v>
      </c>
      <c r="L8" s="162"/>
      <c r="M8" s="162" t="s">
        <v>204</v>
      </c>
      <c r="N8" s="162"/>
      <c r="O8" s="162" t="s">
        <v>342</v>
      </c>
      <c r="P8" s="162"/>
      <c r="Q8" s="162" t="s">
        <v>96</v>
      </c>
      <c r="R8" s="162"/>
    </row>
    <row r="9" spans="3:18" ht="11.25">
      <c r="C9" s="370">
        <v>39355</v>
      </c>
      <c r="D9" s="64"/>
      <c r="E9" s="11"/>
      <c r="F9" s="11"/>
      <c r="G9" s="450"/>
      <c r="H9" s="25"/>
      <c r="I9" s="451"/>
      <c r="J9" s="11"/>
      <c r="K9" s="11"/>
      <c r="L9" s="11"/>
      <c r="M9" s="11"/>
      <c r="N9" s="11"/>
      <c r="O9" s="11"/>
      <c r="P9" s="11"/>
      <c r="Q9" s="11"/>
      <c r="R9" s="67"/>
    </row>
    <row r="10" spans="3:17" ht="11.25" customHeight="1">
      <c r="C10" s="1" t="s">
        <v>124</v>
      </c>
      <c r="E10" s="37">
        <v>2708</v>
      </c>
      <c r="F10" s="45"/>
      <c r="G10" s="37">
        <v>1427</v>
      </c>
      <c r="H10" s="45"/>
      <c r="I10" s="37">
        <v>228</v>
      </c>
      <c r="J10" s="31"/>
      <c r="K10" s="58">
        <v>0</v>
      </c>
      <c r="L10" s="37"/>
      <c r="M10" s="37">
        <f>(E10+G10+I10+K10)</f>
        <v>4363</v>
      </c>
      <c r="N10" s="37"/>
      <c r="O10" s="37">
        <v>100</v>
      </c>
      <c r="P10" s="37"/>
      <c r="Q10" s="59">
        <f aca="true" t="shared" si="0" ref="Q10:Q16">M10+O10</f>
        <v>4463</v>
      </c>
    </row>
    <row r="11" spans="3:17" ht="11.25" customHeight="1">
      <c r="C11" s="1" t="s">
        <v>125</v>
      </c>
      <c r="E11" s="46">
        <v>1449</v>
      </c>
      <c r="F11" s="46"/>
      <c r="G11" s="46">
        <v>1041</v>
      </c>
      <c r="H11" s="46"/>
      <c r="I11" s="46">
        <v>215</v>
      </c>
      <c r="J11" s="46"/>
      <c r="K11" s="46">
        <v>0</v>
      </c>
      <c r="L11" s="46"/>
      <c r="M11" s="167">
        <f aca="true" t="shared" si="1" ref="M11:M16">(E11+G11+I11+K11)</f>
        <v>2705</v>
      </c>
      <c r="N11" s="46"/>
      <c r="O11" s="46">
        <v>95</v>
      </c>
      <c r="P11" s="46"/>
      <c r="Q11" s="168">
        <f t="shared" si="0"/>
        <v>2800</v>
      </c>
    </row>
    <row r="12" spans="3:17" ht="11.25" customHeight="1">
      <c r="C12" s="1" t="s">
        <v>126</v>
      </c>
      <c r="E12" s="46">
        <v>1595</v>
      </c>
      <c r="F12" s="46"/>
      <c r="G12" s="46">
        <v>1141</v>
      </c>
      <c r="H12" s="46"/>
      <c r="I12" s="46">
        <v>319</v>
      </c>
      <c r="J12" s="46"/>
      <c r="K12" s="46">
        <v>0</v>
      </c>
      <c r="L12" s="46"/>
      <c r="M12" s="167">
        <f t="shared" si="1"/>
        <v>3055</v>
      </c>
      <c r="N12" s="46"/>
      <c r="O12" s="46">
        <v>95</v>
      </c>
      <c r="P12" s="46"/>
      <c r="Q12" s="168">
        <f t="shared" si="0"/>
        <v>3150</v>
      </c>
    </row>
    <row r="13" spans="3:17" ht="11.25" customHeight="1">
      <c r="C13" s="1" t="s">
        <v>119</v>
      </c>
      <c r="E13" s="46">
        <v>1138</v>
      </c>
      <c r="F13" s="46"/>
      <c r="G13" s="46">
        <v>611</v>
      </c>
      <c r="H13" s="46"/>
      <c r="I13" s="46">
        <v>161</v>
      </c>
      <c r="J13" s="46"/>
      <c r="K13" s="46">
        <v>0</v>
      </c>
      <c r="L13" s="46"/>
      <c r="M13" s="167">
        <f t="shared" si="1"/>
        <v>1910</v>
      </c>
      <c r="N13" s="46"/>
      <c r="O13" s="46">
        <v>0</v>
      </c>
      <c r="P13" s="46"/>
      <c r="Q13" s="168">
        <f t="shared" si="0"/>
        <v>1910</v>
      </c>
    </row>
    <row r="14" spans="3:17" ht="11.25" customHeight="1">
      <c r="C14" s="15" t="s">
        <v>118</v>
      </c>
      <c r="E14" s="46">
        <v>0</v>
      </c>
      <c r="F14" s="46"/>
      <c r="G14" s="46">
        <v>0</v>
      </c>
      <c r="H14" s="46"/>
      <c r="I14" s="46">
        <v>0</v>
      </c>
      <c r="J14" s="46"/>
      <c r="K14" s="46">
        <v>0</v>
      </c>
      <c r="L14" s="46"/>
      <c r="M14" s="167">
        <f t="shared" si="1"/>
        <v>0</v>
      </c>
      <c r="N14" s="46"/>
      <c r="O14" s="46">
        <v>39</v>
      </c>
      <c r="P14" s="46"/>
      <c r="Q14" s="168">
        <f t="shared" si="0"/>
        <v>39</v>
      </c>
    </row>
    <row r="15" spans="3:17" ht="11.25" customHeight="1">
      <c r="C15" s="1" t="s">
        <v>129</v>
      </c>
      <c r="E15" s="46">
        <v>150</v>
      </c>
      <c r="F15" s="46"/>
      <c r="G15" s="46">
        <v>240</v>
      </c>
      <c r="H15" s="46"/>
      <c r="I15" s="46">
        <v>60</v>
      </c>
      <c r="J15" s="46"/>
      <c r="K15" s="46">
        <v>0</v>
      </c>
      <c r="L15" s="46"/>
      <c r="M15" s="167">
        <f t="shared" si="1"/>
        <v>450</v>
      </c>
      <c r="N15" s="46"/>
      <c r="O15" s="46">
        <v>13</v>
      </c>
      <c r="P15" s="46"/>
      <c r="Q15" s="168">
        <f t="shared" si="0"/>
        <v>463</v>
      </c>
    </row>
    <row r="16" spans="3:17" ht="11.25" customHeight="1">
      <c r="C16" s="1" t="s">
        <v>127</v>
      </c>
      <c r="E16" s="46">
        <v>129</v>
      </c>
      <c r="F16" s="46"/>
      <c r="G16" s="46">
        <v>170</v>
      </c>
      <c r="H16" s="46"/>
      <c r="I16" s="46">
        <v>14</v>
      </c>
      <c r="J16" s="46"/>
      <c r="K16" s="46">
        <v>32</v>
      </c>
      <c r="L16" s="46"/>
      <c r="M16" s="167">
        <f t="shared" si="1"/>
        <v>345</v>
      </c>
      <c r="N16" s="46"/>
      <c r="O16" s="46">
        <v>13</v>
      </c>
      <c r="P16" s="46"/>
      <c r="Q16" s="168">
        <f t="shared" si="0"/>
        <v>358</v>
      </c>
    </row>
    <row r="17" spans="3:17" ht="11.25" customHeight="1">
      <c r="C17" s="1" t="s">
        <v>57</v>
      </c>
      <c r="E17" s="257">
        <f>E12-E13-E14-E15-E16</f>
        <v>178</v>
      </c>
      <c r="F17" s="257"/>
      <c r="G17" s="257">
        <f>G12-G13-G14-G15-G16</f>
        <v>120</v>
      </c>
      <c r="H17" s="257"/>
      <c r="I17" s="257">
        <f>I12-I13-I14-I15-I16</f>
        <v>84</v>
      </c>
      <c r="J17" s="257"/>
      <c r="K17" s="257">
        <f>K12-K13-K14-K15-K16</f>
        <v>-32</v>
      </c>
      <c r="L17" s="257"/>
      <c r="M17" s="257">
        <f>M12-M13-M14-M15-M16</f>
        <v>350</v>
      </c>
      <c r="N17" s="257"/>
      <c r="O17" s="257">
        <f>O12-O13-O14-O15-O16</f>
        <v>30</v>
      </c>
      <c r="P17" s="257"/>
      <c r="Q17" s="257">
        <f>Q12-Q13-Q14-Q15-Q16</f>
        <v>380</v>
      </c>
    </row>
    <row r="18" spans="5:17" ht="6.75" customHeight="1">
      <c r="E18" s="47"/>
      <c r="F18" s="47"/>
      <c r="G18" s="47"/>
      <c r="H18" s="48"/>
      <c r="I18" s="47"/>
      <c r="J18" s="47"/>
      <c r="K18" s="47"/>
      <c r="L18" s="47"/>
      <c r="M18" s="47"/>
      <c r="N18" s="47"/>
      <c r="O18" s="47"/>
      <c r="P18" s="47"/>
      <c r="Q18" s="47"/>
    </row>
    <row r="19" spans="3:17" ht="11.25" customHeight="1">
      <c r="C19" s="1" t="s">
        <v>121</v>
      </c>
      <c r="E19" s="46">
        <v>260</v>
      </c>
      <c r="F19" s="46"/>
      <c r="G19" s="46">
        <v>116</v>
      </c>
      <c r="H19" s="46"/>
      <c r="I19" s="46">
        <v>69</v>
      </c>
      <c r="J19" s="46"/>
      <c r="K19" s="46">
        <v>33</v>
      </c>
      <c r="L19" s="46"/>
      <c r="M19" s="167">
        <f>(E19+G19+I19+K19)</f>
        <v>478</v>
      </c>
      <c r="N19" s="46"/>
      <c r="O19" s="46">
        <v>14</v>
      </c>
      <c r="P19" s="46"/>
      <c r="Q19" s="168">
        <f>M19+O19</f>
        <v>492</v>
      </c>
    </row>
    <row r="20" spans="3:19" ht="11.25" customHeight="1">
      <c r="C20" s="171" t="s">
        <v>166</v>
      </c>
      <c r="D20" s="171"/>
      <c r="E20" s="210">
        <v>29</v>
      </c>
      <c r="F20" s="210"/>
      <c r="G20" s="210">
        <v>-5</v>
      </c>
      <c r="H20" s="210"/>
      <c r="I20" s="210">
        <v>25</v>
      </c>
      <c r="J20" s="210"/>
      <c r="K20" s="210">
        <v>2</v>
      </c>
      <c r="L20" s="210"/>
      <c r="M20" s="167">
        <f>(E20+G20+I20+K20)</f>
        <v>51</v>
      </c>
      <c r="N20" s="210"/>
      <c r="O20" s="210">
        <v>-51</v>
      </c>
      <c r="P20" s="210"/>
      <c r="Q20" s="168">
        <f>M20+O20</f>
        <v>0</v>
      </c>
      <c r="R20" s="171"/>
      <c r="S20" s="171"/>
    </row>
    <row r="21" spans="3:20" ht="11.25" customHeight="1">
      <c r="C21" s="1" t="s">
        <v>139</v>
      </c>
      <c r="E21" s="46">
        <v>0</v>
      </c>
      <c r="F21" s="46"/>
      <c r="G21" s="46">
        <v>0</v>
      </c>
      <c r="H21" s="46"/>
      <c r="I21" s="46">
        <v>0</v>
      </c>
      <c r="J21" s="46"/>
      <c r="K21" s="46">
        <v>44</v>
      </c>
      <c r="L21" s="46"/>
      <c r="M21" s="167">
        <f>(E21+G21+I21+K21)</f>
        <v>44</v>
      </c>
      <c r="N21" s="46"/>
      <c r="O21" s="46">
        <v>0</v>
      </c>
      <c r="P21" s="46"/>
      <c r="Q21" s="168">
        <f>M21+O21</f>
        <v>44</v>
      </c>
      <c r="S21" s="42"/>
      <c r="T21" s="261"/>
    </row>
    <row r="22" spans="3:17" ht="11.25" customHeight="1">
      <c r="C22" s="1" t="s">
        <v>245</v>
      </c>
      <c r="D22" s="42"/>
      <c r="E22" s="46">
        <v>1</v>
      </c>
      <c r="F22" s="46"/>
      <c r="G22" s="46">
        <v>-12</v>
      </c>
      <c r="H22" s="46"/>
      <c r="I22" s="46">
        <v>0</v>
      </c>
      <c r="J22" s="46"/>
      <c r="K22" s="46">
        <v>43</v>
      </c>
      <c r="L22" s="46"/>
      <c r="M22" s="167">
        <f>(E22+G22+I22+K22)</f>
        <v>32</v>
      </c>
      <c r="N22" s="46"/>
      <c r="O22" s="46">
        <v>0</v>
      </c>
      <c r="P22" s="46"/>
      <c r="Q22" s="168">
        <f>M22+O22</f>
        <v>32</v>
      </c>
    </row>
    <row r="23" spans="3:17" ht="11.25" customHeight="1">
      <c r="C23" s="1" t="s">
        <v>151</v>
      </c>
      <c r="E23" s="46">
        <v>125</v>
      </c>
      <c r="F23" s="46"/>
      <c r="G23" s="46">
        <v>26</v>
      </c>
      <c r="H23" s="46"/>
      <c r="I23" s="46">
        <v>11</v>
      </c>
      <c r="J23" s="46"/>
      <c r="K23" s="46">
        <v>-19</v>
      </c>
      <c r="L23" s="46"/>
      <c r="M23" s="167">
        <f>(E23+G23+I23+K23)</f>
        <v>143</v>
      </c>
      <c r="N23" s="46"/>
      <c r="O23" s="46">
        <v>-3</v>
      </c>
      <c r="P23" s="46"/>
      <c r="Q23" s="168">
        <f>M23+O23</f>
        <v>140</v>
      </c>
    </row>
    <row r="24" spans="3:19" ht="11.25" customHeight="1">
      <c r="C24" s="171" t="s">
        <v>58</v>
      </c>
      <c r="D24" s="200"/>
      <c r="E24" s="258">
        <f>+E17+E19-E22-E21-E23+E20</f>
        <v>341</v>
      </c>
      <c r="F24" s="258"/>
      <c r="G24" s="258">
        <f>+G17+G19-G22-G21-G23+G20</f>
        <v>217</v>
      </c>
      <c r="H24" s="258"/>
      <c r="I24" s="258">
        <f>+I17+I19-I22-I21-I23+I20</f>
        <v>167</v>
      </c>
      <c r="J24" s="258"/>
      <c r="K24" s="258">
        <f>+K17+K19-K22-K21-K23+K20</f>
        <v>-65</v>
      </c>
      <c r="L24" s="258"/>
      <c r="M24" s="258">
        <f>+M17+M19-M22-M21-M23+M20</f>
        <v>660</v>
      </c>
      <c r="N24" s="258"/>
      <c r="O24" s="258">
        <f>+O17+O19-O22-O21-O23+O20</f>
        <v>-4</v>
      </c>
      <c r="P24" s="258"/>
      <c r="Q24" s="258">
        <f>+Q17+Q19-Q22-Q21-Q23+Q20</f>
        <v>656</v>
      </c>
      <c r="R24" s="171"/>
      <c r="S24" s="171"/>
    </row>
    <row r="25" spans="3:19" ht="5.25" customHeight="1">
      <c r="C25" s="200"/>
      <c r="D25" s="200"/>
      <c r="E25" s="212"/>
      <c r="F25" s="212"/>
      <c r="G25" s="212"/>
      <c r="H25" s="212"/>
      <c r="I25" s="212"/>
      <c r="J25" s="212"/>
      <c r="K25" s="212"/>
      <c r="L25" s="212"/>
      <c r="M25" s="212"/>
      <c r="N25" s="212"/>
      <c r="O25" s="212"/>
      <c r="P25" s="212"/>
      <c r="Q25" s="212"/>
      <c r="R25" s="171"/>
      <c r="S25" s="171"/>
    </row>
    <row r="26" spans="3:19" ht="11.25" customHeight="1">
      <c r="C26" s="171" t="s">
        <v>166</v>
      </c>
      <c r="D26" s="171"/>
      <c r="E26" s="210">
        <f>+E20</f>
        <v>29</v>
      </c>
      <c r="F26" s="210"/>
      <c r="G26" s="210">
        <f>+G20</f>
        <v>-5</v>
      </c>
      <c r="H26" s="210"/>
      <c r="I26" s="210">
        <f>+I20</f>
        <v>25</v>
      </c>
      <c r="J26" s="210"/>
      <c r="K26" s="210">
        <f>+K20</f>
        <v>2</v>
      </c>
      <c r="L26" s="210"/>
      <c r="M26" s="210">
        <f>(E26+G26+I26+K26)</f>
        <v>51</v>
      </c>
      <c r="N26" s="210"/>
      <c r="O26" s="210">
        <f>+O20</f>
        <v>-51</v>
      </c>
      <c r="P26" s="210"/>
      <c r="Q26" s="210">
        <f>M26+O26</f>
        <v>0</v>
      </c>
      <c r="R26" s="171"/>
      <c r="S26" s="171"/>
    </row>
    <row r="27" spans="3:17" ht="11.25" customHeight="1">
      <c r="C27" s="171" t="s">
        <v>514</v>
      </c>
      <c r="E27" s="210">
        <v>0</v>
      </c>
      <c r="F27" s="210"/>
      <c r="G27" s="210">
        <v>11</v>
      </c>
      <c r="H27" s="210"/>
      <c r="I27" s="210">
        <v>0</v>
      </c>
      <c r="J27" s="210"/>
      <c r="K27" s="210">
        <v>-49</v>
      </c>
      <c r="L27" s="210"/>
      <c r="M27" s="210">
        <f>(E27+G27+I27+K27)</f>
        <v>-38</v>
      </c>
      <c r="N27" s="210"/>
      <c r="O27" s="210">
        <v>0</v>
      </c>
      <c r="P27" s="210"/>
      <c r="Q27" s="168">
        <f>M27+O27</f>
        <v>-38</v>
      </c>
    </row>
    <row r="28" spans="3:19" ht="11.25" customHeight="1">
      <c r="C28" s="172" t="s">
        <v>246</v>
      </c>
      <c r="D28" s="172"/>
      <c r="E28" s="210">
        <v>0</v>
      </c>
      <c r="F28" s="210"/>
      <c r="G28" s="210">
        <v>-1</v>
      </c>
      <c r="H28" s="210"/>
      <c r="I28" s="210">
        <v>0</v>
      </c>
      <c r="J28" s="210"/>
      <c r="K28" s="210">
        <v>-1</v>
      </c>
      <c r="L28" s="210"/>
      <c r="M28" s="210">
        <f>(E28+G28+I28+K28)</f>
        <v>-2</v>
      </c>
      <c r="N28" s="210"/>
      <c r="O28" s="210">
        <v>0</v>
      </c>
      <c r="P28" s="210"/>
      <c r="Q28" s="168">
        <f>M28+O28</f>
        <v>-2</v>
      </c>
      <c r="R28" s="171"/>
      <c r="S28" s="171"/>
    </row>
    <row r="29" spans="3:19" ht="13.5" customHeight="1" thickBot="1">
      <c r="C29" s="172" t="s">
        <v>248</v>
      </c>
      <c r="D29" s="171"/>
      <c r="E29" s="211">
        <f>E24-E26-E27+E28</f>
        <v>312</v>
      </c>
      <c r="F29" s="193"/>
      <c r="G29" s="211">
        <f>G24-G26-G27+G28</f>
        <v>210</v>
      </c>
      <c r="H29" s="211"/>
      <c r="I29" s="211">
        <f>I24-I26-I27+I28</f>
        <v>142</v>
      </c>
      <c r="J29" s="193"/>
      <c r="K29" s="211">
        <f>K24-K26-K27+K28</f>
        <v>-19</v>
      </c>
      <c r="L29" s="193"/>
      <c r="M29" s="211">
        <f>M24-M26-M27+M28</f>
        <v>645</v>
      </c>
      <c r="N29" s="193"/>
      <c r="O29" s="211">
        <f>O24-O26-O27+O28</f>
        <v>47</v>
      </c>
      <c r="P29" s="193"/>
      <c r="Q29" s="211">
        <f>Q24-Q26-Q27+Q28</f>
        <v>692</v>
      </c>
      <c r="R29" s="171"/>
      <c r="S29" s="171"/>
    </row>
    <row r="30" spans="3:18" ht="7.5" customHeight="1" thickTop="1">
      <c r="C30" s="171"/>
      <c r="D30" s="171"/>
      <c r="E30" s="213"/>
      <c r="F30" s="213"/>
      <c r="G30" s="212"/>
      <c r="H30" s="212"/>
      <c r="I30" s="213"/>
      <c r="J30" s="213"/>
      <c r="K30" s="213"/>
      <c r="L30" s="213"/>
      <c r="M30" s="213"/>
      <c r="N30" s="213"/>
      <c r="O30" s="213"/>
      <c r="P30" s="213"/>
      <c r="Q30" s="213"/>
      <c r="R30" s="171"/>
    </row>
    <row r="31" spans="3:18" ht="11.25">
      <c r="C31" s="370">
        <v>38990</v>
      </c>
      <c r="D31" s="65"/>
      <c r="E31" s="85"/>
      <c r="F31" s="85"/>
      <c r="G31" s="362"/>
      <c r="H31" s="362"/>
      <c r="I31" s="85"/>
      <c r="J31" s="85"/>
      <c r="K31" s="85"/>
      <c r="L31" s="85"/>
      <c r="M31" s="85"/>
      <c r="N31" s="85"/>
      <c r="O31" s="85"/>
      <c r="P31" s="85"/>
      <c r="Q31" s="85"/>
      <c r="R31" s="7"/>
    </row>
    <row r="32" spans="3:17" ht="11.25" customHeight="1">
      <c r="C32" s="1" t="s">
        <v>124</v>
      </c>
      <c r="E32" s="45">
        <v>2550</v>
      </c>
      <c r="F32" s="45"/>
      <c r="G32" s="45">
        <v>1387</v>
      </c>
      <c r="H32" s="509"/>
      <c r="I32" s="45">
        <v>291</v>
      </c>
      <c r="J32" s="510"/>
      <c r="K32" s="58">
        <v>0</v>
      </c>
      <c r="L32" s="37"/>
      <c r="M32" s="37">
        <f>E32+G32+I32+K32</f>
        <v>4228</v>
      </c>
      <c r="N32" s="37"/>
      <c r="O32" s="45">
        <v>69</v>
      </c>
      <c r="P32" s="37"/>
      <c r="Q32" s="59">
        <f aca="true" t="shared" si="2" ref="Q32:Q38">M32+O32</f>
        <v>4297</v>
      </c>
    </row>
    <row r="33" spans="3:17" ht="11.25" customHeight="1">
      <c r="C33" s="1" t="s">
        <v>125</v>
      </c>
      <c r="E33" s="46">
        <v>1459</v>
      </c>
      <c r="F33" s="46"/>
      <c r="G33" s="46">
        <v>978</v>
      </c>
      <c r="H33" s="508"/>
      <c r="I33" s="46">
        <v>284</v>
      </c>
      <c r="J33" s="508"/>
      <c r="K33" s="46">
        <v>0</v>
      </c>
      <c r="L33" s="46"/>
      <c r="M33" s="167">
        <f>(E33+G33+I33+K33)</f>
        <v>2721</v>
      </c>
      <c r="N33" s="46"/>
      <c r="O33" s="46">
        <v>69</v>
      </c>
      <c r="P33" s="46"/>
      <c r="Q33" s="168">
        <f t="shared" si="2"/>
        <v>2790</v>
      </c>
    </row>
    <row r="34" spans="3:17" ht="11.25" customHeight="1">
      <c r="C34" s="1" t="s">
        <v>126</v>
      </c>
      <c r="E34" s="46">
        <v>1547</v>
      </c>
      <c r="F34" s="46"/>
      <c r="G34" s="46">
        <v>1099</v>
      </c>
      <c r="H34" s="508"/>
      <c r="I34" s="46">
        <v>373</v>
      </c>
      <c r="J34" s="508"/>
      <c r="K34" s="46">
        <v>0</v>
      </c>
      <c r="L34" s="46"/>
      <c r="M34" s="167">
        <f>(E34+G34+I34+K34)</f>
        <v>3019</v>
      </c>
      <c r="N34" s="46"/>
      <c r="O34" s="46">
        <v>69</v>
      </c>
      <c r="P34" s="46"/>
      <c r="Q34" s="168">
        <f t="shared" si="2"/>
        <v>3088</v>
      </c>
    </row>
    <row r="35" spans="3:17" ht="11.25" customHeight="1">
      <c r="C35" s="1" t="s">
        <v>119</v>
      </c>
      <c r="E35" s="46">
        <v>1090</v>
      </c>
      <c r="F35" s="46"/>
      <c r="G35" s="46">
        <v>532</v>
      </c>
      <c r="H35" s="508"/>
      <c r="I35" s="46">
        <v>196</v>
      </c>
      <c r="J35" s="508"/>
      <c r="K35" s="46">
        <v>0</v>
      </c>
      <c r="L35" s="46"/>
      <c r="M35" s="167">
        <f>(E35+G35+I35+K35)</f>
        <v>1818</v>
      </c>
      <c r="N35" s="46"/>
      <c r="O35" s="46">
        <v>0</v>
      </c>
      <c r="P35" s="46"/>
      <c r="Q35" s="168">
        <f t="shared" si="2"/>
        <v>1818</v>
      </c>
    </row>
    <row r="36" spans="3:17" ht="11.25" customHeight="1">
      <c r="C36" s="15" t="s">
        <v>118</v>
      </c>
      <c r="E36" s="53">
        <v>0</v>
      </c>
      <c r="F36" s="46"/>
      <c r="G36" s="53">
        <v>0</v>
      </c>
      <c r="H36" s="508"/>
      <c r="I36" s="53">
        <v>0</v>
      </c>
      <c r="J36" s="508"/>
      <c r="K36" s="53">
        <v>0</v>
      </c>
      <c r="L36" s="46"/>
      <c r="M36" s="167">
        <f>(E36+G36+I36+K36)</f>
        <v>0</v>
      </c>
      <c r="N36" s="46"/>
      <c r="O36" s="53">
        <v>29</v>
      </c>
      <c r="P36" s="46"/>
      <c r="Q36" s="168">
        <f t="shared" si="2"/>
        <v>29</v>
      </c>
    </row>
    <row r="37" spans="3:17" ht="11.25" customHeight="1">
      <c r="C37" s="1" t="s">
        <v>129</v>
      </c>
      <c r="E37" s="46">
        <v>142</v>
      </c>
      <c r="F37" s="46"/>
      <c r="G37" s="46">
        <v>217</v>
      </c>
      <c r="H37" s="508"/>
      <c r="I37" s="46">
        <v>71</v>
      </c>
      <c r="J37" s="508"/>
      <c r="K37" s="46">
        <v>0</v>
      </c>
      <c r="L37" s="46"/>
      <c r="M37" s="167">
        <f>(E37+G37+I37+K37)</f>
        <v>430</v>
      </c>
      <c r="N37" s="46"/>
      <c r="O37" s="46">
        <v>7</v>
      </c>
      <c r="P37" s="46"/>
      <c r="Q37" s="168">
        <f t="shared" si="2"/>
        <v>437</v>
      </c>
    </row>
    <row r="38" spans="3:17" ht="11.25" customHeight="1">
      <c r="C38" s="1" t="s">
        <v>127</v>
      </c>
      <c r="E38" s="46">
        <v>129</v>
      </c>
      <c r="F38" s="46"/>
      <c r="G38" s="46">
        <v>155</v>
      </c>
      <c r="H38" s="508"/>
      <c r="I38" s="46">
        <v>16</v>
      </c>
      <c r="J38" s="508"/>
      <c r="K38" s="46">
        <v>45</v>
      </c>
      <c r="L38" s="46"/>
      <c r="M38" s="167">
        <f>E38+G38+I38+K38</f>
        <v>345</v>
      </c>
      <c r="N38" s="46"/>
      <c r="O38" s="46">
        <v>8</v>
      </c>
      <c r="P38" s="46"/>
      <c r="Q38" s="168">
        <f t="shared" si="2"/>
        <v>353</v>
      </c>
    </row>
    <row r="39" spans="3:17" ht="11.25" customHeight="1">
      <c r="C39" s="1" t="s">
        <v>57</v>
      </c>
      <c r="E39" s="257">
        <f>E34-E35-E36-E37-E38</f>
        <v>186</v>
      </c>
      <c r="F39" s="257"/>
      <c r="G39" s="257">
        <f>G34-G35-G36-G37-G38</f>
        <v>195</v>
      </c>
      <c r="H39" s="257"/>
      <c r="I39" s="257">
        <f>I34-I35-I36-I37-I38</f>
        <v>90</v>
      </c>
      <c r="J39" s="257"/>
      <c r="K39" s="257">
        <f>K34-K35-K36-K37-K38</f>
        <v>-45</v>
      </c>
      <c r="L39" s="257"/>
      <c r="M39" s="257">
        <f>M34-M35-M36-M37-M38</f>
        <v>426</v>
      </c>
      <c r="N39" s="257"/>
      <c r="O39" s="257">
        <f>O34-O35-O36-O37-O38</f>
        <v>25</v>
      </c>
      <c r="P39" s="257"/>
      <c r="Q39" s="257">
        <f>Q34-Q35-Q36-Q37-Q38</f>
        <v>451</v>
      </c>
    </row>
    <row r="40" spans="5:17" ht="6" customHeight="1">
      <c r="E40" s="47"/>
      <c r="F40" s="47"/>
      <c r="G40" s="48"/>
      <c r="H40" s="48"/>
      <c r="I40" s="47"/>
      <c r="J40" s="47"/>
      <c r="K40" s="47"/>
      <c r="L40" s="47"/>
      <c r="M40" s="47"/>
      <c r="N40" s="47"/>
      <c r="O40" s="47"/>
      <c r="P40" s="47"/>
      <c r="Q40" s="47"/>
    </row>
    <row r="41" spans="3:17" ht="11.25" customHeight="1">
      <c r="C41" s="1" t="s">
        <v>121</v>
      </c>
      <c r="E41" s="46">
        <v>228</v>
      </c>
      <c r="F41" s="46"/>
      <c r="G41" s="46">
        <v>97</v>
      </c>
      <c r="H41" s="46"/>
      <c r="I41" s="46">
        <v>56</v>
      </c>
      <c r="J41" s="46"/>
      <c r="K41" s="46">
        <v>22</v>
      </c>
      <c r="L41" s="46"/>
      <c r="M41" s="167">
        <f>(E41+G41+I41+K41)</f>
        <v>403</v>
      </c>
      <c r="N41" s="46"/>
      <c r="O41" s="167">
        <v>11</v>
      </c>
      <c r="P41" s="46"/>
      <c r="Q41" s="168">
        <f>M41+O41</f>
        <v>414</v>
      </c>
    </row>
    <row r="42" spans="3:19" ht="11.25" customHeight="1">
      <c r="C42" s="171" t="s">
        <v>166</v>
      </c>
      <c r="D42" s="171"/>
      <c r="E42" s="210">
        <v>-34</v>
      </c>
      <c r="F42" s="210"/>
      <c r="G42" s="210">
        <v>-32</v>
      </c>
      <c r="H42" s="210"/>
      <c r="I42" s="210">
        <v>2</v>
      </c>
      <c r="J42" s="210"/>
      <c r="K42" s="210">
        <v>-35</v>
      </c>
      <c r="L42" s="210"/>
      <c r="M42" s="167">
        <f>(E42+G42+I42+K42)</f>
        <v>-99</v>
      </c>
      <c r="N42" s="210"/>
      <c r="O42" s="167">
        <v>-14</v>
      </c>
      <c r="P42" s="210"/>
      <c r="Q42" s="168">
        <f>M42+O42</f>
        <v>-113</v>
      </c>
      <c r="R42" s="171"/>
      <c r="S42" s="171"/>
    </row>
    <row r="43" spans="3:17" ht="11.25" customHeight="1">
      <c r="C43" s="1" t="s">
        <v>139</v>
      </c>
      <c r="E43" s="46">
        <v>0</v>
      </c>
      <c r="F43" s="46"/>
      <c r="G43" s="46">
        <v>0</v>
      </c>
      <c r="H43" s="46"/>
      <c r="I43" s="46">
        <v>0</v>
      </c>
      <c r="J43" s="46"/>
      <c r="K43" s="46">
        <v>46</v>
      </c>
      <c r="L43" s="46"/>
      <c r="M43" s="167">
        <f>(E43+G43+I43+K43)</f>
        <v>46</v>
      </c>
      <c r="N43" s="46"/>
      <c r="O43" s="167">
        <v>0</v>
      </c>
      <c r="P43" s="46"/>
      <c r="Q43" s="168">
        <f>M43+O43</f>
        <v>46</v>
      </c>
    </row>
    <row r="44" spans="3:17" ht="11.25" customHeight="1">
      <c r="C44" s="1" t="s">
        <v>245</v>
      </c>
      <c r="E44" s="46">
        <v>11</v>
      </c>
      <c r="F44" s="46"/>
      <c r="G44" s="46">
        <v>-3</v>
      </c>
      <c r="H44" s="46"/>
      <c r="I44" s="46">
        <v>1</v>
      </c>
      <c r="J44" s="46"/>
      <c r="K44" s="46">
        <v>-11</v>
      </c>
      <c r="L44" s="46"/>
      <c r="M44" s="167">
        <f>(E44+G44+I44+K44)</f>
        <v>-2</v>
      </c>
      <c r="N44" s="46"/>
      <c r="O44" s="167">
        <v>0</v>
      </c>
      <c r="P44" s="46"/>
      <c r="Q44" s="168">
        <f>M44+O44</f>
        <v>-2</v>
      </c>
    </row>
    <row r="45" spans="3:17" ht="11.25" customHeight="1">
      <c r="C45" s="1" t="s">
        <v>151</v>
      </c>
      <c r="E45" s="46">
        <v>74</v>
      </c>
      <c r="F45" s="46"/>
      <c r="G45" s="46">
        <v>63</v>
      </c>
      <c r="H45" s="46"/>
      <c r="I45" s="46">
        <v>9</v>
      </c>
      <c r="J45" s="46"/>
      <c r="K45" s="46">
        <v>-16</v>
      </c>
      <c r="L45" s="46"/>
      <c r="M45" s="167">
        <f>(E45+G45+I45+K45)</f>
        <v>130</v>
      </c>
      <c r="N45" s="46"/>
      <c r="O45" s="167">
        <v>0</v>
      </c>
      <c r="P45" s="46"/>
      <c r="Q45" s="168">
        <f>M45+O45</f>
        <v>130</v>
      </c>
    </row>
    <row r="46" spans="3:19" ht="11.25" customHeight="1">
      <c r="C46" s="171" t="s">
        <v>58</v>
      </c>
      <c r="D46" s="200"/>
      <c r="E46" s="258">
        <f>+E39+E41-E44-E43-E45+E42</f>
        <v>295</v>
      </c>
      <c r="F46" s="258"/>
      <c r="G46" s="258">
        <f>+G39+G41-G44-G43-G45+G42</f>
        <v>200</v>
      </c>
      <c r="H46" s="258"/>
      <c r="I46" s="258">
        <f>+I39+I41-I44-I43-I45+I42</f>
        <v>138</v>
      </c>
      <c r="J46" s="258"/>
      <c r="K46" s="258">
        <f>+K39+K41-K44-K43-K45+K42</f>
        <v>-77</v>
      </c>
      <c r="L46" s="258"/>
      <c r="M46" s="258">
        <f>+M39+M41-M44-M43-M45+M42</f>
        <v>556</v>
      </c>
      <c r="N46" s="258"/>
      <c r="O46" s="258">
        <f>+O39+O41-O44-O43-O45+O42</f>
        <v>22</v>
      </c>
      <c r="P46" s="258"/>
      <c r="Q46" s="258">
        <f>+Q39+Q41-Q44-Q43-Q45+Q42</f>
        <v>578</v>
      </c>
      <c r="R46" s="171"/>
      <c r="S46" s="171"/>
    </row>
    <row r="47" spans="3:19" ht="6" customHeight="1">
      <c r="C47" s="200"/>
      <c r="D47" s="200"/>
      <c r="E47" s="212"/>
      <c r="F47" s="212"/>
      <c r="G47" s="212"/>
      <c r="H47" s="212"/>
      <c r="I47" s="212"/>
      <c r="J47" s="212"/>
      <c r="K47" s="212"/>
      <c r="L47" s="212"/>
      <c r="M47" s="212"/>
      <c r="N47" s="212"/>
      <c r="O47" s="212"/>
      <c r="P47" s="212"/>
      <c r="Q47" s="212"/>
      <c r="R47" s="171"/>
      <c r="S47" s="171"/>
    </row>
    <row r="48" spans="3:19" ht="11.25" customHeight="1">
      <c r="C48" s="171" t="s">
        <v>166</v>
      </c>
      <c r="D48" s="171"/>
      <c r="E48" s="210">
        <v>-34</v>
      </c>
      <c r="F48" s="210"/>
      <c r="G48" s="210">
        <v>-32</v>
      </c>
      <c r="H48" s="210"/>
      <c r="I48" s="210">
        <v>2</v>
      </c>
      <c r="J48" s="210"/>
      <c r="K48" s="210">
        <v>-35</v>
      </c>
      <c r="L48" s="210"/>
      <c r="M48" s="210">
        <f>(E48+G48+I48+K48)</f>
        <v>-99</v>
      </c>
      <c r="N48" s="210"/>
      <c r="O48" s="210">
        <v>-14</v>
      </c>
      <c r="P48" s="210"/>
      <c r="Q48" s="210">
        <f>M48+O48</f>
        <v>-113</v>
      </c>
      <c r="R48" s="171"/>
      <c r="S48" s="171"/>
    </row>
    <row r="49" spans="3:19" ht="11.25" customHeight="1">
      <c r="C49" s="172" t="s">
        <v>246</v>
      </c>
      <c r="D49" s="172"/>
      <c r="E49" s="53">
        <v>-32</v>
      </c>
      <c r="F49" s="210"/>
      <c r="G49" s="210">
        <v>-6</v>
      </c>
      <c r="H49" s="210"/>
      <c r="I49" s="210">
        <v>-1</v>
      </c>
      <c r="J49" s="210"/>
      <c r="K49" s="210">
        <v>0</v>
      </c>
      <c r="L49" s="210"/>
      <c r="M49" s="167">
        <f>(E49+G49+I49+K49)</f>
        <v>-39</v>
      </c>
      <c r="N49" s="210"/>
      <c r="O49" s="210">
        <v>0</v>
      </c>
      <c r="P49" s="210"/>
      <c r="Q49" s="168">
        <f>M49+O49</f>
        <v>-39</v>
      </c>
      <c r="R49" s="171"/>
      <c r="S49" s="171"/>
    </row>
    <row r="50" spans="3:19" ht="13.5" customHeight="1" thickBot="1">
      <c r="C50" s="172" t="s">
        <v>248</v>
      </c>
      <c r="D50" s="171"/>
      <c r="E50" s="211">
        <f>E46-E48+E49</f>
        <v>297</v>
      </c>
      <c r="F50" s="193"/>
      <c r="G50" s="211">
        <f>G46-G48+G49</f>
        <v>226</v>
      </c>
      <c r="H50" s="211"/>
      <c r="I50" s="211">
        <f>I46-I48+I49</f>
        <v>135</v>
      </c>
      <c r="J50" s="193"/>
      <c r="K50" s="211">
        <f>K46-K48+K49</f>
        <v>-42</v>
      </c>
      <c r="L50" s="193"/>
      <c r="M50" s="211">
        <f>M46-M48+M49</f>
        <v>616</v>
      </c>
      <c r="N50" s="193"/>
      <c r="O50" s="211">
        <f>O46-O48+O49</f>
        <v>36</v>
      </c>
      <c r="P50" s="193"/>
      <c r="Q50" s="211">
        <f>Q46-Q48+Q49</f>
        <v>652</v>
      </c>
      <c r="R50" s="171"/>
      <c r="S50" s="171"/>
    </row>
    <row r="51" spans="3:17" ht="11.25" customHeight="1" thickTop="1">
      <c r="C51" s="526" t="str">
        <f>+'Financial Highlights'!C49</f>
        <v>(1) See page 21 Non-GAAP Financial Measures.</v>
      </c>
      <c r="D51" s="42"/>
      <c r="E51" s="51"/>
      <c r="F51" s="50"/>
      <c r="G51" s="51"/>
      <c r="H51" s="51"/>
      <c r="I51" s="50"/>
      <c r="J51" s="50"/>
      <c r="K51" s="32"/>
      <c r="L51" s="32"/>
      <c r="M51" s="50"/>
      <c r="N51" s="50"/>
      <c r="O51" s="50"/>
      <c r="P51" s="50"/>
      <c r="Q51" s="50"/>
    </row>
    <row r="52" spans="5:17" ht="11.25">
      <c r="E52" s="363"/>
      <c r="F52" s="40"/>
      <c r="H52" s="363"/>
      <c r="J52" s="40"/>
      <c r="K52" s="40"/>
      <c r="L52" s="40"/>
      <c r="M52" s="40"/>
      <c r="N52" s="40"/>
      <c r="O52" s="40"/>
      <c r="P52" s="40"/>
      <c r="Q52" s="42"/>
    </row>
    <row r="53" spans="5:17" ht="11.25">
      <c r="E53" s="40"/>
      <c r="F53" s="40"/>
      <c r="H53" s="363"/>
      <c r="J53" s="40"/>
      <c r="K53" s="40"/>
      <c r="L53" s="40"/>
      <c r="M53" s="40"/>
      <c r="N53" s="40"/>
      <c r="O53" s="40"/>
      <c r="P53" s="40"/>
      <c r="Q53" s="42"/>
    </row>
    <row r="54" spans="3:17" ht="11.25">
      <c r="C54" s="80" t="s">
        <v>442</v>
      </c>
      <c r="E54" s="40"/>
      <c r="F54" s="40"/>
      <c r="H54" s="363"/>
      <c r="J54" s="40"/>
      <c r="K54" s="40"/>
      <c r="L54" s="40"/>
      <c r="M54" s="40"/>
      <c r="N54" s="40"/>
      <c r="O54" s="40"/>
      <c r="P54" s="40"/>
      <c r="Q54" s="42"/>
    </row>
    <row r="55" spans="3:17" ht="11.25" customHeight="1">
      <c r="C55" s="1" t="s">
        <v>123</v>
      </c>
      <c r="E55" s="16">
        <v>0.713</v>
      </c>
      <c r="F55" s="16"/>
      <c r="G55" s="16">
        <v>0.536</v>
      </c>
      <c r="H55" s="26"/>
      <c r="I55" s="16">
        <v>0.506</v>
      </c>
      <c r="J55" s="16"/>
      <c r="K55" s="50"/>
      <c r="L55" s="50"/>
      <c r="M55" s="16">
        <v>0.625</v>
      </c>
      <c r="N55" s="50"/>
      <c r="O55" s="256"/>
      <c r="P55"/>
      <c r="Q55" s="16">
        <v>0.625</v>
      </c>
    </row>
    <row r="56" spans="3:17" ht="11.25" customHeight="1">
      <c r="C56" s="1" t="s">
        <v>130</v>
      </c>
      <c r="E56" s="16">
        <v>0.094</v>
      </c>
      <c r="F56" s="16"/>
      <c r="G56" s="16">
        <v>0.211</v>
      </c>
      <c r="H56" s="26"/>
      <c r="I56" s="16">
        <v>0.188</v>
      </c>
      <c r="J56" s="16"/>
      <c r="K56" s="50"/>
      <c r="L56" s="50"/>
      <c r="M56" s="16">
        <v>0.147</v>
      </c>
      <c r="N56" s="50"/>
      <c r="O56" s="256"/>
      <c r="P56"/>
      <c r="Q56" s="16">
        <v>0.147</v>
      </c>
    </row>
    <row r="57" spans="3:17" ht="11.25" customHeight="1">
      <c r="C57" s="1" t="s">
        <v>138</v>
      </c>
      <c r="E57" s="18">
        <v>0.081</v>
      </c>
      <c r="F57" s="18"/>
      <c r="G57" s="18">
        <v>0.148</v>
      </c>
      <c r="H57" s="27"/>
      <c r="I57" s="18">
        <v>0.042</v>
      </c>
      <c r="J57" s="17"/>
      <c r="K57" s="50"/>
      <c r="L57" s="50"/>
      <c r="M57" s="18">
        <v>0.113</v>
      </c>
      <c r="N57"/>
      <c r="O57" s="256"/>
      <c r="P57" s="256"/>
      <c r="Q57" s="18">
        <v>0.113</v>
      </c>
    </row>
    <row r="58" spans="3:18" ht="11.25" customHeight="1" thickBot="1">
      <c r="C58" s="7" t="s">
        <v>54</v>
      </c>
      <c r="D58" s="7"/>
      <c r="E58" s="179">
        <f>SUM(E55:E57)</f>
        <v>0.8879999999999999</v>
      </c>
      <c r="F58" s="179"/>
      <c r="G58" s="179">
        <f>SUM(G55:G57)</f>
        <v>0.895</v>
      </c>
      <c r="H58" s="189"/>
      <c r="I58" s="179">
        <f>SUM(I55:I57)</f>
        <v>0.736</v>
      </c>
      <c r="J58" s="17"/>
      <c r="K58" s="50"/>
      <c r="L58" s="50"/>
      <c r="M58" s="179">
        <f>SUM(M55:M57)</f>
        <v>0.885</v>
      </c>
      <c r="N58"/>
      <c r="O58" s="256"/>
      <c r="P58"/>
      <c r="Q58" s="179">
        <f>SUM(Q55:Q57)</f>
        <v>0.885</v>
      </c>
      <c r="R58" s="162"/>
    </row>
    <row r="59" spans="14:16" ht="13.5" thickTop="1">
      <c r="N59"/>
      <c r="O59"/>
      <c r="P59"/>
    </row>
    <row r="60" ht="12.75">
      <c r="N60"/>
    </row>
  </sheetData>
  <conditionalFormatting sqref="O48 E48 G48 I48 K48 M48 Q48 G26 M26 O26 E26 K26 Q26 I26">
    <cfRule type="cellIs" priority="1" dxfId="0" operator="notEqual" stopIfTrue="1">
      <formula>E20</formula>
    </cfRule>
  </conditionalFormatting>
  <hyperlinks>
    <hyperlink ref="C51" location="'Reconciliation Non-GAAP'!Print_Area" display="'Reconciliation Non-GAAP'!Print_Area"/>
  </hyperlinks>
  <printOptions/>
  <pageMargins left="0.5" right="0.5" top="0.5" bottom="0.55" header="0.75" footer="0.3"/>
  <pageSetup fitToHeight="1" fitToWidth="1" horizontalDpi="600" verticalDpi="600" orientation="landscape" scale="96" r:id="rId2"/>
  <headerFooter alignWithMargins="0">
    <oddFooter>&amp;L&amp;A&amp;R&amp;"Arial,Regular"&amp;8Page 5</oddFooter>
  </headerFooter>
  <drawing r:id="rId1"/>
</worksheet>
</file>

<file path=xl/worksheets/sheet8.xml><?xml version="1.0" encoding="utf-8"?>
<worksheet xmlns="http://schemas.openxmlformats.org/spreadsheetml/2006/main" xmlns:r="http://schemas.openxmlformats.org/officeDocument/2006/relationships">
  <sheetPr codeName="Sheet12">
    <pageSetUpPr fitToPage="1"/>
  </sheetPr>
  <dimension ref="C1:T63"/>
  <sheetViews>
    <sheetView workbookViewId="0" topLeftCell="A1">
      <selection activeCell="A1" sqref="A1"/>
    </sheetView>
  </sheetViews>
  <sheetFormatPr defaultColWidth="9.33203125" defaultRowHeight="12.75"/>
  <cols>
    <col min="1" max="2" width="3.33203125" style="1" customWidth="1"/>
    <col min="3" max="3" width="41" style="1" customWidth="1"/>
    <col min="4" max="4" width="1.171875" style="1" customWidth="1"/>
    <col min="5" max="5" width="8.33203125" style="9" customWidth="1"/>
    <col min="6" max="6" width="3.83203125" style="9" customWidth="1"/>
    <col min="7" max="7" width="8.33203125" style="363" customWidth="1"/>
    <col min="8" max="8" width="3.83203125" style="28" customWidth="1"/>
    <col min="9" max="9" width="8.33203125" style="40" customWidth="1"/>
    <col min="10" max="10" width="3.83203125" style="9" customWidth="1"/>
    <col min="11" max="11" width="8.33203125" style="9" customWidth="1"/>
    <col min="12" max="12" width="3" style="9" customWidth="1"/>
    <col min="13" max="13" width="9.83203125" style="9" customWidth="1"/>
    <col min="14" max="14" width="4.83203125" style="9" customWidth="1"/>
    <col min="15" max="15" width="8.33203125" style="9" customWidth="1"/>
    <col min="16" max="16" width="4.83203125" style="9" customWidth="1"/>
    <col min="17" max="17" width="9.33203125" style="1" customWidth="1"/>
    <col min="18" max="18" width="1.5" style="1" customWidth="1"/>
    <col min="19" max="16384" width="9.33203125" style="1" customWidth="1"/>
  </cols>
  <sheetData>
    <row r="1" spans="3:18" ht="12.75">
      <c r="C1" s="88" t="s">
        <v>89</v>
      </c>
      <c r="D1" s="88"/>
      <c r="E1" s="88"/>
      <c r="F1" s="88"/>
      <c r="G1" s="446"/>
      <c r="H1" s="88"/>
      <c r="I1" s="446"/>
      <c r="J1" s="88"/>
      <c r="K1" s="88"/>
      <c r="L1" s="88"/>
      <c r="M1" s="88"/>
      <c r="N1" s="88"/>
      <c r="O1" s="88"/>
      <c r="P1" s="88"/>
      <c r="Q1" s="88"/>
      <c r="R1" s="87"/>
    </row>
    <row r="2" spans="3:18" ht="12">
      <c r="C2" s="89" t="s">
        <v>72</v>
      </c>
      <c r="D2" s="89"/>
      <c r="E2" s="89"/>
      <c r="F2" s="89"/>
      <c r="G2" s="447"/>
      <c r="H2" s="89"/>
      <c r="I2" s="447"/>
      <c r="J2" s="89"/>
      <c r="K2" s="89"/>
      <c r="L2" s="89"/>
      <c r="M2" s="89"/>
      <c r="N2" s="89"/>
      <c r="O2" s="89"/>
      <c r="P2" s="89"/>
      <c r="Q2" s="89"/>
      <c r="R2" s="87"/>
    </row>
    <row r="3" spans="3:18" ht="12">
      <c r="C3" s="89" t="s">
        <v>453</v>
      </c>
      <c r="D3" s="89"/>
      <c r="E3" s="89"/>
      <c r="F3" s="89"/>
      <c r="G3" s="447"/>
      <c r="H3" s="89"/>
      <c r="I3" s="447"/>
      <c r="J3" s="89"/>
      <c r="K3" s="89"/>
      <c r="L3" s="89"/>
      <c r="M3" s="89"/>
      <c r="N3" s="89"/>
      <c r="O3" s="89"/>
      <c r="P3" s="89"/>
      <c r="Q3" s="89"/>
      <c r="R3" s="87"/>
    </row>
    <row r="4" spans="3:18" ht="12">
      <c r="C4" s="90" t="s">
        <v>147</v>
      </c>
      <c r="D4" s="90"/>
      <c r="E4" s="90"/>
      <c r="F4" s="90"/>
      <c r="G4" s="260"/>
      <c r="H4" s="90"/>
      <c r="I4" s="260"/>
      <c r="J4" s="90"/>
      <c r="K4" s="90"/>
      <c r="L4" s="90"/>
      <c r="M4" s="90"/>
      <c r="N4" s="90"/>
      <c r="O4" s="90"/>
      <c r="P4" s="90"/>
      <c r="Q4" s="90"/>
      <c r="R4" s="87"/>
    </row>
    <row r="5" spans="3:18" ht="12">
      <c r="C5" s="90" t="s">
        <v>163</v>
      </c>
      <c r="D5" s="90"/>
      <c r="E5" s="90"/>
      <c r="F5" s="90"/>
      <c r="G5" s="260"/>
      <c r="H5" s="90"/>
      <c r="I5" s="260"/>
      <c r="J5" s="90"/>
      <c r="K5" s="90"/>
      <c r="L5" s="90"/>
      <c r="M5" s="90"/>
      <c r="N5" s="90"/>
      <c r="O5" s="90"/>
      <c r="P5" s="90"/>
      <c r="Q5" s="90"/>
      <c r="R5" s="87"/>
    </row>
    <row r="6" spans="3:18" ht="10.5" customHeight="1">
      <c r="C6" s="500"/>
      <c r="D6" s="2"/>
      <c r="E6" s="2" t="s">
        <v>155</v>
      </c>
      <c r="F6" s="2"/>
      <c r="G6" s="253" t="s">
        <v>155</v>
      </c>
      <c r="H6" s="2"/>
      <c r="I6" s="253"/>
      <c r="J6" s="2"/>
      <c r="K6" s="2"/>
      <c r="L6" s="2"/>
      <c r="M6" s="2"/>
      <c r="N6" s="2"/>
      <c r="O6" s="2"/>
      <c r="P6" s="2"/>
      <c r="Q6" s="2"/>
      <c r="R6" s="2"/>
    </row>
    <row r="7" spans="3:17" ht="10.5" customHeight="1">
      <c r="C7" s="43"/>
      <c r="D7" s="43"/>
      <c r="E7" s="44" t="s">
        <v>91</v>
      </c>
      <c r="F7" s="44"/>
      <c r="G7" s="448" t="s">
        <v>92</v>
      </c>
      <c r="H7" s="44"/>
      <c r="I7" s="448" t="s">
        <v>93</v>
      </c>
      <c r="J7" s="44"/>
      <c r="K7" s="44" t="s">
        <v>84</v>
      </c>
      <c r="L7" s="44"/>
      <c r="M7" s="44" t="s">
        <v>96</v>
      </c>
      <c r="N7" s="44"/>
      <c r="O7" s="162" t="s">
        <v>341</v>
      </c>
      <c r="P7" s="44"/>
      <c r="Q7" s="44" t="s">
        <v>90</v>
      </c>
    </row>
    <row r="8" spans="4:18" ht="10.5" customHeight="1">
      <c r="D8" s="162"/>
      <c r="E8" s="162" t="s">
        <v>156</v>
      </c>
      <c r="F8" s="162"/>
      <c r="G8" s="449" t="s">
        <v>94</v>
      </c>
      <c r="H8" s="162"/>
      <c r="I8" s="449" t="s">
        <v>95</v>
      </c>
      <c r="J8" s="162"/>
      <c r="K8" s="162" t="s">
        <v>158</v>
      </c>
      <c r="L8" s="162"/>
      <c r="M8" s="162" t="s">
        <v>204</v>
      </c>
      <c r="N8" s="162"/>
      <c r="O8" s="162" t="s">
        <v>342</v>
      </c>
      <c r="P8" s="162"/>
      <c r="Q8" s="162" t="s">
        <v>96</v>
      </c>
      <c r="R8" s="162"/>
    </row>
    <row r="9" spans="3:18" ht="11.25">
      <c r="C9" s="370">
        <v>39355</v>
      </c>
      <c r="D9" s="64"/>
      <c r="E9" s="11"/>
      <c r="F9" s="11"/>
      <c r="G9" s="450"/>
      <c r="H9" s="25"/>
      <c r="I9" s="451"/>
      <c r="J9" s="11"/>
      <c r="K9" s="11"/>
      <c r="L9" s="11"/>
      <c r="M9" s="11"/>
      <c r="N9" s="11"/>
      <c r="O9" s="11"/>
      <c r="P9" s="11"/>
      <c r="Q9" s="11"/>
      <c r="R9" s="67"/>
    </row>
    <row r="10" spans="3:17" ht="11.25" customHeight="1">
      <c r="C10" s="1" t="s">
        <v>124</v>
      </c>
      <c r="E10" s="37">
        <f>'Segment  2007 Qtr'!E10+4858</f>
        <v>7566</v>
      </c>
      <c r="F10" s="552"/>
      <c r="G10" s="37">
        <f>+'Segment  2007 Qtr'!G10+3280</f>
        <v>4707</v>
      </c>
      <c r="H10" s="552"/>
      <c r="I10" s="37">
        <f>+'Segment  2007 Qtr'!I10+813</f>
        <v>1041</v>
      </c>
      <c r="J10" s="552"/>
      <c r="K10" s="58">
        <f>+'Segment  2007 Qtr'!K10</f>
        <v>0</v>
      </c>
      <c r="L10" s="557"/>
      <c r="M10" s="37">
        <f aca="true" t="shared" si="0" ref="M10:M16">(E10+G10+I10+K10)</f>
        <v>13314</v>
      </c>
      <c r="N10" s="552"/>
      <c r="O10" s="37">
        <f>+'Segment  2007 Qtr'!O10+182</f>
        <v>282</v>
      </c>
      <c r="P10" s="552"/>
      <c r="Q10" s="59">
        <f aca="true" t="shared" si="1" ref="Q10:Q16">M10+O10</f>
        <v>13596</v>
      </c>
    </row>
    <row r="11" spans="3:17" ht="11.25" customHeight="1">
      <c r="C11" s="1" t="s">
        <v>125</v>
      </c>
      <c r="E11" s="46">
        <f>'Segment  2007 Qtr'!E11+3011</f>
        <v>4460</v>
      </c>
      <c r="F11" s="552"/>
      <c r="G11" s="46">
        <f>+'Segment  2007 Qtr'!G11+2358</f>
        <v>3399</v>
      </c>
      <c r="H11" s="552"/>
      <c r="I11" s="46">
        <f>+'Segment  2007 Qtr'!I11+808</f>
        <v>1023</v>
      </c>
      <c r="J11" s="552"/>
      <c r="K11" s="46">
        <f>+'Segment  2007 Qtr'!K11</f>
        <v>0</v>
      </c>
      <c r="L11" s="557"/>
      <c r="M11" s="167">
        <f t="shared" si="0"/>
        <v>8882</v>
      </c>
      <c r="N11" s="552"/>
      <c r="O11" s="46">
        <f>+'Segment  2007 Qtr'!O11+175</f>
        <v>270</v>
      </c>
      <c r="P11" s="552"/>
      <c r="Q11" s="168">
        <f t="shared" si="1"/>
        <v>9152</v>
      </c>
    </row>
    <row r="12" spans="3:17" ht="11.25" customHeight="1">
      <c r="C12" s="1" t="s">
        <v>126</v>
      </c>
      <c r="E12" s="46">
        <f>'Segment  2007 Qtr'!E12+2994</f>
        <v>4589</v>
      </c>
      <c r="F12" s="552"/>
      <c r="G12" s="46">
        <f>+'Segment  2007 Qtr'!G12+2253</f>
        <v>3394</v>
      </c>
      <c r="H12" s="552"/>
      <c r="I12" s="46">
        <f>+'Segment  2007 Qtr'!I12+668</f>
        <v>987</v>
      </c>
      <c r="J12" s="552"/>
      <c r="K12" s="46">
        <f>+'Segment  2007 Qtr'!K12</f>
        <v>0</v>
      </c>
      <c r="L12" s="557"/>
      <c r="M12" s="167">
        <f t="shared" si="0"/>
        <v>8970</v>
      </c>
      <c r="N12" s="552"/>
      <c r="O12" s="46">
        <f>+'Segment  2007 Qtr'!O12+175</f>
        <v>270</v>
      </c>
      <c r="P12" s="552"/>
      <c r="Q12" s="168">
        <f t="shared" si="1"/>
        <v>9240</v>
      </c>
    </row>
    <row r="13" spans="3:17" ht="11.25" customHeight="1">
      <c r="C13" s="1" t="s">
        <v>119</v>
      </c>
      <c r="E13" s="46">
        <f>'Segment  2007 Qtr'!E13+2127</f>
        <v>3265</v>
      </c>
      <c r="F13" s="552"/>
      <c r="G13" s="46">
        <f>+'Segment  2007 Qtr'!G13+1178</f>
        <v>1789</v>
      </c>
      <c r="H13" s="552"/>
      <c r="I13" s="46">
        <f>+'Segment  2007 Qtr'!I13+348</f>
        <v>509</v>
      </c>
      <c r="J13" s="552"/>
      <c r="K13" s="46">
        <f>+'Segment  2007 Qtr'!K13</f>
        <v>0</v>
      </c>
      <c r="L13" s="557"/>
      <c r="M13" s="167">
        <f t="shared" si="0"/>
        <v>5563</v>
      </c>
      <c r="N13" s="552"/>
      <c r="O13" s="46">
        <f>+'Segment  2007 Qtr'!O13</f>
        <v>0</v>
      </c>
      <c r="P13" s="552"/>
      <c r="Q13" s="168">
        <f t="shared" si="1"/>
        <v>5563</v>
      </c>
    </row>
    <row r="14" spans="3:17" ht="11.25" customHeight="1">
      <c r="C14" s="15" t="s">
        <v>118</v>
      </c>
      <c r="E14" s="46">
        <f>+'Segment  2007 Qtr'!E14</f>
        <v>0</v>
      </c>
      <c r="F14" s="552"/>
      <c r="G14" s="46">
        <f>+'Segment  2007 Qtr'!G14</f>
        <v>0</v>
      </c>
      <c r="H14" s="552"/>
      <c r="I14" s="46">
        <f>+'Segment  2007 Qtr'!I14</f>
        <v>0</v>
      </c>
      <c r="J14" s="552"/>
      <c r="K14" s="46">
        <f>+'Segment  2007 Qtr'!K14</f>
        <v>0</v>
      </c>
      <c r="L14" s="557"/>
      <c r="M14" s="167">
        <f t="shared" si="0"/>
        <v>0</v>
      </c>
      <c r="N14" s="552"/>
      <c r="O14" s="46">
        <f>+'Segment  2007 Qtr'!O14+69</f>
        <v>108</v>
      </c>
      <c r="P14" s="552"/>
      <c r="Q14" s="168">
        <f t="shared" si="1"/>
        <v>108</v>
      </c>
    </row>
    <row r="15" spans="3:17" ht="11.25" customHeight="1">
      <c r="C15" s="1" t="s">
        <v>129</v>
      </c>
      <c r="E15" s="46">
        <f>+'Segment  2007 Qtr'!E15+244</f>
        <v>394</v>
      </c>
      <c r="F15" s="552"/>
      <c r="G15" s="46">
        <f>+'Segment  2007 Qtr'!G15+454</f>
        <v>694</v>
      </c>
      <c r="H15" s="552"/>
      <c r="I15" s="46">
        <f>+'Segment  2007 Qtr'!I15+130</f>
        <v>190</v>
      </c>
      <c r="J15" s="552"/>
      <c r="K15" s="46">
        <f>+'Segment  2007 Qtr'!K15</f>
        <v>0</v>
      </c>
      <c r="L15" s="557"/>
      <c r="M15" s="167">
        <f t="shared" si="0"/>
        <v>1278</v>
      </c>
      <c r="N15" s="552"/>
      <c r="O15" s="46">
        <f>+'Segment  2007 Qtr'!O15+23</f>
        <v>36</v>
      </c>
      <c r="P15" s="552"/>
      <c r="Q15" s="168">
        <f t="shared" si="1"/>
        <v>1314</v>
      </c>
    </row>
    <row r="16" spans="3:17" ht="11.25" customHeight="1">
      <c r="C16" s="1" t="s">
        <v>127</v>
      </c>
      <c r="E16" s="46">
        <f>+'Segment  2007 Qtr'!E16+263</f>
        <v>392</v>
      </c>
      <c r="F16" s="46"/>
      <c r="G16" s="46">
        <f>+'Segment  2007 Qtr'!G16+324</f>
        <v>494</v>
      </c>
      <c r="H16" s="46"/>
      <c r="I16" s="46">
        <f>+'Segment  2007 Qtr'!I16+33</f>
        <v>47</v>
      </c>
      <c r="J16" s="46"/>
      <c r="K16" s="46">
        <f>+'Segment  2007 Qtr'!K16+68</f>
        <v>100</v>
      </c>
      <c r="L16" s="557"/>
      <c r="M16" s="167">
        <f t="shared" si="0"/>
        <v>1033</v>
      </c>
      <c r="N16" s="46"/>
      <c r="O16" s="46">
        <f>+'Segment  2007 Qtr'!O16+24</f>
        <v>37</v>
      </c>
      <c r="P16" s="46"/>
      <c r="Q16" s="168">
        <f t="shared" si="1"/>
        <v>1070</v>
      </c>
    </row>
    <row r="17" spans="3:17" ht="11.25" customHeight="1">
      <c r="C17" s="1" t="s">
        <v>57</v>
      </c>
      <c r="E17" s="257">
        <f>E12-E13-E14-E15-E16</f>
        <v>538</v>
      </c>
      <c r="F17" s="553"/>
      <c r="G17" s="257">
        <f>G12-G13-G14-G15-G16</f>
        <v>417</v>
      </c>
      <c r="H17" s="553"/>
      <c r="I17" s="257">
        <f>I12-I13-I14-I15-I16</f>
        <v>241</v>
      </c>
      <c r="J17" s="553"/>
      <c r="K17" s="257">
        <f>K12-K13-K14-K15-K16</f>
        <v>-100</v>
      </c>
      <c r="L17" s="561"/>
      <c r="M17" s="257">
        <f>M12-M13-M14-M15-M16</f>
        <v>1096</v>
      </c>
      <c r="N17" s="553"/>
      <c r="O17" s="257">
        <f>O12-O13-O14-O15-O16</f>
        <v>89</v>
      </c>
      <c r="P17" s="553"/>
      <c r="Q17" s="257">
        <f>Q12-Q13-Q14-Q15-Q16</f>
        <v>1185</v>
      </c>
    </row>
    <row r="18" spans="5:17" ht="6.75" customHeight="1">
      <c r="E18" s="47"/>
      <c r="F18" s="47"/>
      <c r="G18" s="47"/>
      <c r="H18" s="47"/>
      <c r="I18" s="47"/>
      <c r="J18" s="47"/>
      <c r="K18" s="47"/>
      <c r="L18" s="47"/>
      <c r="M18" s="47"/>
      <c r="N18" s="47"/>
      <c r="O18" s="47"/>
      <c r="P18" s="47"/>
      <c r="Q18" s="47"/>
    </row>
    <row r="19" spans="3:17" ht="11.25" customHeight="1">
      <c r="C19" s="1" t="s">
        <v>121</v>
      </c>
      <c r="E19" s="46">
        <f>+'Segment  2007 Qtr'!E19+498</f>
        <v>758</v>
      </c>
      <c r="F19" s="552"/>
      <c r="G19" s="46">
        <f>+'Segment  2007 Qtr'!G19+215</f>
        <v>331</v>
      </c>
      <c r="H19" s="552"/>
      <c r="I19" s="46">
        <f>+'Segment  2007 Qtr'!I19+132</f>
        <v>201</v>
      </c>
      <c r="J19" s="552"/>
      <c r="K19" s="46">
        <f>+'Segment  2007 Qtr'!K19+51</f>
        <v>84</v>
      </c>
      <c r="L19" s="557"/>
      <c r="M19" s="167">
        <f>(E19+G19+I19+K19)</f>
        <v>1374</v>
      </c>
      <c r="N19" s="552"/>
      <c r="O19" s="46">
        <f>+'Segment  2007 Qtr'!O19+26</f>
        <v>40</v>
      </c>
      <c r="P19" s="552"/>
      <c r="Q19" s="168">
        <f>M19+O19</f>
        <v>1414</v>
      </c>
    </row>
    <row r="20" spans="3:19" ht="11.25" customHeight="1">
      <c r="C20" s="171" t="s">
        <v>166</v>
      </c>
      <c r="D20" s="171"/>
      <c r="E20" s="210">
        <f>+'Segment  2007 Qtr'!E20+52</f>
        <v>81</v>
      </c>
      <c r="F20" s="552"/>
      <c r="G20" s="210">
        <f>+'Segment  2007 Qtr'!G20-53</f>
        <v>-58</v>
      </c>
      <c r="H20" s="552"/>
      <c r="I20" s="210">
        <f>+'Segment  2007 Qtr'!I20+-1</f>
        <v>24</v>
      </c>
      <c r="J20" s="552"/>
      <c r="K20" s="210">
        <f>+'Segment  2007 Qtr'!K20+12</f>
        <v>14</v>
      </c>
      <c r="L20" s="557"/>
      <c r="M20" s="167">
        <f>(E20+G20+I20+K20)</f>
        <v>61</v>
      </c>
      <c r="N20" s="552"/>
      <c r="O20" s="210">
        <f>+'Segment  2007 Qtr'!O20+-5</f>
        <v>-56</v>
      </c>
      <c r="P20" s="552"/>
      <c r="Q20" s="168">
        <f>M20+O20</f>
        <v>5</v>
      </c>
      <c r="R20" s="171"/>
      <c r="S20" s="171"/>
    </row>
    <row r="21" spans="3:20" ht="11.25" customHeight="1">
      <c r="C21" s="1" t="s">
        <v>139</v>
      </c>
      <c r="E21" s="46">
        <f>+'Segment  2007 Qtr'!E21</f>
        <v>0</v>
      </c>
      <c r="F21" s="552"/>
      <c r="G21" s="46">
        <f>+'Segment  2007 Qtr'!G21</f>
        <v>0</v>
      </c>
      <c r="H21" s="552"/>
      <c r="I21" s="46">
        <f>+'Segment  2007 Qtr'!I21</f>
        <v>0</v>
      </c>
      <c r="J21" s="552"/>
      <c r="K21" s="46">
        <f>+'Segment  2007 Qtr'!K21+88</f>
        <v>132</v>
      </c>
      <c r="L21" s="557"/>
      <c r="M21" s="167">
        <f>(E21+G21+I21+K21)</f>
        <v>132</v>
      </c>
      <c r="N21" s="552"/>
      <c r="O21" s="46">
        <f>+'Segment  2007 Qtr'!O21</f>
        <v>0</v>
      </c>
      <c r="P21" s="552"/>
      <c r="Q21" s="168">
        <f>M21+O21</f>
        <v>132</v>
      </c>
      <c r="S21" s="42"/>
      <c r="T21" s="261"/>
    </row>
    <row r="22" spans="3:17" ht="11.25" customHeight="1">
      <c r="C22" s="1" t="s">
        <v>245</v>
      </c>
      <c r="D22" s="42"/>
      <c r="E22" s="46">
        <f>+'Segment  2007 Qtr'!E22+10</f>
        <v>11</v>
      </c>
      <c r="F22" s="552"/>
      <c r="G22" s="46">
        <f>+'Segment  2007 Qtr'!G22+4</f>
        <v>-8</v>
      </c>
      <c r="H22" s="552"/>
      <c r="I22" s="46">
        <f>+'Segment  2007 Qtr'!I22+3</f>
        <v>3</v>
      </c>
      <c r="J22" s="552"/>
      <c r="K22" s="46">
        <f>+'Segment  2007 Qtr'!K22+-17</f>
        <v>26</v>
      </c>
      <c r="L22" s="557"/>
      <c r="M22" s="167">
        <f>(E22+G22+I22+K22)</f>
        <v>32</v>
      </c>
      <c r="N22" s="552"/>
      <c r="O22" s="46">
        <f>+'Segment  2007 Qtr'!O22</f>
        <v>0</v>
      </c>
      <c r="P22" s="552"/>
      <c r="Q22" s="168">
        <f>M22+O22</f>
        <v>32</v>
      </c>
    </row>
    <row r="23" spans="3:17" ht="11.25" customHeight="1">
      <c r="C23" s="1" t="s">
        <v>151</v>
      </c>
      <c r="E23" s="46">
        <f>+'Segment  2007 Qtr'!E23+243</f>
        <v>368</v>
      </c>
      <c r="F23" s="46"/>
      <c r="G23" s="46">
        <f>+'Segment  2007 Qtr'!G23+98</f>
        <v>124</v>
      </c>
      <c r="H23" s="46"/>
      <c r="I23" s="46">
        <f>+'Segment  2007 Qtr'!I23+14</f>
        <v>25</v>
      </c>
      <c r="J23" s="46"/>
      <c r="K23" s="46">
        <f>+'Segment  2007 Qtr'!K23+-60</f>
        <v>-79</v>
      </c>
      <c r="L23" s="558"/>
      <c r="M23" s="167">
        <f>(E23+G23+I23+K23)</f>
        <v>438</v>
      </c>
      <c r="N23" s="46"/>
      <c r="O23" s="46">
        <f>+'Segment  2007 Qtr'!O23+-1</f>
        <v>-4</v>
      </c>
      <c r="P23" s="46"/>
      <c r="Q23" s="168">
        <f>M23+O23</f>
        <v>434</v>
      </c>
    </row>
    <row r="24" spans="3:19" ht="11.25" customHeight="1">
      <c r="C24" s="171" t="s">
        <v>58</v>
      </c>
      <c r="D24" s="200"/>
      <c r="E24" s="258">
        <f>+E17+E19-E22-E21-E23+E20</f>
        <v>998</v>
      </c>
      <c r="F24" s="553"/>
      <c r="G24" s="258">
        <f>+G17+G19-G22-G21-G23+G20</f>
        <v>574</v>
      </c>
      <c r="H24" s="553"/>
      <c r="I24" s="258">
        <f>+I17+I19-I22-I21-I23+I20</f>
        <v>438</v>
      </c>
      <c r="J24" s="553"/>
      <c r="K24" s="258">
        <f>+K17+K19-K22-K21-K23+K20</f>
        <v>-81</v>
      </c>
      <c r="L24" s="559"/>
      <c r="M24" s="258">
        <f>+M17+M19-M22-M21-M23+M20</f>
        <v>1929</v>
      </c>
      <c r="N24" s="553"/>
      <c r="O24" s="258">
        <f>+O17+O19-O22-O21-O23+O20</f>
        <v>77</v>
      </c>
      <c r="P24" s="553"/>
      <c r="Q24" s="258">
        <f>+Q17+Q19-Q22-Q21-Q23+Q20</f>
        <v>2006</v>
      </c>
      <c r="R24" s="171"/>
      <c r="S24" s="171"/>
    </row>
    <row r="25" spans="3:19" ht="5.25" customHeight="1">
      <c r="C25" s="200"/>
      <c r="D25" s="200"/>
      <c r="E25" s="212"/>
      <c r="F25" s="554"/>
      <c r="G25" s="212"/>
      <c r="H25" s="554"/>
      <c r="I25" s="212"/>
      <c r="J25" s="554"/>
      <c r="K25" s="212"/>
      <c r="L25" s="558"/>
      <c r="M25" s="212"/>
      <c r="N25" s="554"/>
      <c r="O25" s="212"/>
      <c r="P25" s="554"/>
      <c r="Q25" s="212"/>
      <c r="R25" s="171"/>
      <c r="S25" s="171"/>
    </row>
    <row r="26" spans="3:19" ht="11.25" customHeight="1">
      <c r="C26" s="171" t="s">
        <v>166</v>
      </c>
      <c r="D26" s="171"/>
      <c r="E26" s="210">
        <f>+E20</f>
        <v>81</v>
      </c>
      <c r="F26" s="552"/>
      <c r="G26" s="210">
        <f>+G20</f>
        <v>-58</v>
      </c>
      <c r="H26" s="552"/>
      <c r="I26" s="210">
        <f>+I20</f>
        <v>24</v>
      </c>
      <c r="J26" s="552"/>
      <c r="K26" s="210">
        <f>+K20</f>
        <v>14</v>
      </c>
      <c r="L26" s="557"/>
      <c r="M26" s="210">
        <f>(E26+G26+I26+K26)</f>
        <v>61</v>
      </c>
      <c r="N26" s="552"/>
      <c r="O26" s="210">
        <f>+O20</f>
        <v>-56</v>
      </c>
      <c r="P26" s="552"/>
      <c r="Q26" s="210">
        <f>M26+O26</f>
        <v>5</v>
      </c>
      <c r="R26" s="171"/>
      <c r="S26" s="171"/>
    </row>
    <row r="27" spans="3:19" ht="11.25" customHeight="1">
      <c r="C27" s="171" t="s">
        <v>514</v>
      </c>
      <c r="D27"/>
      <c r="E27" s="210">
        <v>0</v>
      </c>
      <c r="F27" s="210"/>
      <c r="G27" s="210">
        <f>+'Segment  2007 Qtr'!G27</f>
        <v>11</v>
      </c>
      <c r="H27" s="210"/>
      <c r="I27" s="210">
        <v>0</v>
      </c>
      <c r="J27" s="210"/>
      <c r="K27" s="210">
        <f>+'Segment  2007 Qtr'!K27</f>
        <v>-49</v>
      </c>
      <c r="L27" s="210"/>
      <c r="M27" s="210">
        <f>(E27+G27+I27+K27)</f>
        <v>-38</v>
      </c>
      <c r="N27" s="210"/>
      <c r="O27" s="210">
        <v>0</v>
      </c>
      <c r="P27" s="210"/>
      <c r="Q27" s="168">
        <f>M27+O27</f>
        <v>-38</v>
      </c>
      <c r="R27" s="171"/>
      <c r="S27" s="171"/>
    </row>
    <row r="28" spans="3:19" ht="11.25" customHeight="1">
      <c r="C28" s="172" t="s">
        <v>246</v>
      </c>
      <c r="D28" s="172"/>
      <c r="E28" s="210">
        <f>+'Segment  2007 Qtr'!E28+23</f>
        <v>23</v>
      </c>
      <c r="F28" s="555"/>
      <c r="G28" s="210">
        <f>+'Segment  2007 Qtr'!G28+-12</f>
        <v>-13</v>
      </c>
      <c r="H28" s="555"/>
      <c r="I28" s="210">
        <f>+'Segment  2007 Qtr'!I28+-1</f>
        <v>-1</v>
      </c>
      <c r="J28" s="555"/>
      <c r="K28" s="210">
        <f>+'Segment  2007 Qtr'!K28+-28</f>
        <v>-29</v>
      </c>
      <c r="L28" s="558"/>
      <c r="M28" s="168">
        <f>(E28+G28+I28+K28)</f>
        <v>-20</v>
      </c>
      <c r="N28" s="555"/>
      <c r="O28" s="210">
        <f>+'Segment  2007 Qtr'!O28</f>
        <v>0</v>
      </c>
      <c r="P28" s="555"/>
      <c r="Q28" s="168">
        <f>M28+O28</f>
        <v>-20</v>
      </c>
      <c r="R28" s="171"/>
      <c r="S28" s="171"/>
    </row>
    <row r="29" spans="3:19" ht="13.5" customHeight="1" thickBot="1">
      <c r="C29" s="172" t="s">
        <v>248</v>
      </c>
      <c r="D29" s="171"/>
      <c r="E29" s="211">
        <f>E24-E26-E27+E28</f>
        <v>940</v>
      </c>
      <c r="F29" s="556"/>
      <c r="G29" s="211">
        <f>G24-G26-G27+G28</f>
        <v>608</v>
      </c>
      <c r="H29" s="556"/>
      <c r="I29" s="211">
        <f>I24-I26-I27+I28</f>
        <v>413</v>
      </c>
      <c r="J29" s="556"/>
      <c r="K29" s="211">
        <f>K24-K26-K27+K28</f>
        <v>-75</v>
      </c>
      <c r="L29" s="560"/>
      <c r="M29" s="211">
        <f>M24-M26-M27+M28</f>
        <v>1886</v>
      </c>
      <c r="N29" s="556"/>
      <c r="O29" s="211">
        <f>O24-O26-O27+O28</f>
        <v>133</v>
      </c>
      <c r="P29" s="556"/>
      <c r="Q29" s="211">
        <f>Q24-Q26-Q27+Q28</f>
        <v>2019</v>
      </c>
      <c r="R29" s="171"/>
      <c r="S29" s="171"/>
    </row>
    <row r="30" spans="3:18" ht="7.5" customHeight="1" thickTop="1">
      <c r="C30" s="171"/>
      <c r="D30" s="171"/>
      <c r="E30" s="213"/>
      <c r="F30" s="213"/>
      <c r="G30" s="212"/>
      <c r="H30" s="212"/>
      <c r="I30" s="213"/>
      <c r="J30" s="213"/>
      <c r="K30" s="213"/>
      <c r="L30" s="213"/>
      <c r="M30" s="213"/>
      <c r="N30" s="213"/>
      <c r="O30" s="213"/>
      <c r="P30" s="213"/>
      <c r="Q30" s="213"/>
      <c r="R30" s="171"/>
    </row>
    <row r="31" spans="3:18" ht="11.25">
      <c r="C31" s="370">
        <v>38990</v>
      </c>
      <c r="D31" s="65"/>
      <c r="E31" s="85"/>
      <c r="F31" s="85"/>
      <c r="G31" s="362"/>
      <c r="H31" s="362"/>
      <c r="I31" s="85"/>
      <c r="J31" s="85"/>
      <c r="K31" s="85"/>
      <c r="L31" s="85"/>
      <c r="M31" s="85"/>
      <c r="N31" s="85"/>
      <c r="O31" s="85"/>
      <c r="P31" s="85"/>
      <c r="Q31" s="85"/>
      <c r="R31" s="7"/>
    </row>
    <row r="32" spans="3:17" ht="11.25" customHeight="1">
      <c r="C32" s="1" t="s">
        <v>124</v>
      </c>
      <c r="E32" s="45">
        <v>7427</v>
      </c>
      <c r="F32" s="45"/>
      <c r="G32" s="45">
        <v>4456</v>
      </c>
      <c r="H32" s="593"/>
      <c r="I32" s="45">
        <v>1312</v>
      </c>
      <c r="J32" s="594"/>
      <c r="K32" s="58">
        <v>0</v>
      </c>
      <c r="L32" s="37"/>
      <c r="M32" s="37">
        <f>E32+G32+I32+K32</f>
        <v>13195</v>
      </c>
      <c r="N32" s="37"/>
      <c r="O32" s="45">
        <v>196</v>
      </c>
      <c r="P32" s="37"/>
      <c r="Q32" s="59">
        <f aca="true" t="shared" si="2" ref="Q32:Q38">M32+O32</f>
        <v>13391</v>
      </c>
    </row>
    <row r="33" spans="3:17" ht="11.25" customHeight="1">
      <c r="C33" s="1" t="s">
        <v>125</v>
      </c>
      <c r="E33" s="46">
        <v>4464</v>
      </c>
      <c r="F33" s="46"/>
      <c r="G33" s="46">
        <v>3207</v>
      </c>
      <c r="H33" s="508"/>
      <c r="I33" s="46">
        <v>1299</v>
      </c>
      <c r="J33" s="508"/>
      <c r="K33" s="46">
        <v>0</v>
      </c>
      <c r="L33" s="46"/>
      <c r="M33" s="167">
        <f>(E33+G33+I33+K33)</f>
        <v>8970</v>
      </c>
      <c r="N33" s="46"/>
      <c r="O33" s="46">
        <v>196</v>
      </c>
      <c r="P33" s="46"/>
      <c r="Q33" s="168">
        <f t="shared" si="2"/>
        <v>9166</v>
      </c>
    </row>
    <row r="34" spans="3:17" ht="11.25" customHeight="1">
      <c r="C34" s="1" t="s">
        <v>126</v>
      </c>
      <c r="E34" s="46">
        <v>4248</v>
      </c>
      <c r="F34" s="46"/>
      <c r="G34" s="46">
        <v>3224</v>
      </c>
      <c r="H34" s="508"/>
      <c r="I34" s="46">
        <v>1131</v>
      </c>
      <c r="J34" s="508"/>
      <c r="K34" s="46">
        <v>0</v>
      </c>
      <c r="L34" s="46"/>
      <c r="M34" s="167">
        <f>(E34+G34+I34+K34)</f>
        <v>8603</v>
      </c>
      <c r="N34" s="46"/>
      <c r="O34" s="46">
        <v>196</v>
      </c>
      <c r="P34" s="46"/>
      <c r="Q34" s="168">
        <f t="shared" si="2"/>
        <v>8799</v>
      </c>
    </row>
    <row r="35" spans="3:17" ht="11.25" customHeight="1">
      <c r="C35" s="1" t="s">
        <v>119</v>
      </c>
      <c r="E35" s="46">
        <v>2972</v>
      </c>
      <c r="F35" s="46"/>
      <c r="G35" s="46">
        <v>1683</v>
      </c>
      <c r="H35" s="508"/>
      <c r="I35" s="46">
        <v>590</v>
      </c>
      <c r="J35" s="508"/>
      <c r="K35" s="46">
        <v>1</v>
      </c>
      <c r="L35" s="46"/>
      <c r="M35" s="167">
        <f>(E35+G35+I35+K35)</f>
        <v>5246</v>
      </c>
      <c r="N35" s="46"/>
      <c r="O35" s="46">
        <v>0</v>
      </c>
      <c r="P35" s="46"/>
      <c r="Q35" s="168">
        <f t="shared" si="2"/>
        <v>5246</v>
      </c>
    </row>
    <row r="36" spans="3:17" ht="11.25" customHeight="1">
      <c r="C36" s="15" t="s">
        <v>118</v>
      </c>
      <c r="E36" s="53">
        <v>0</v>
      </c>
      <c r="F36" s="46"/>
      <c r="G36" s="53">
        <v>0</v>
      </c>
      <c r="H36" s="508"/>
      <c r="I36" s="53">
        <v>0</v>
      </c>
      <c r="J36" s="508"/>
      <c r="K36" s="53">
        <v>0</v>
      </c>
      <c r="L36" s="46"/>
      <c r="M36" s="167">
        <f>(E36+G36+I36+K36)</f>
        <v>0</v>
      </c>
      <c r="N36" s="46"/>
      <c r="O36" s="53">
        <v>91</v>
      </c>
      <c r="P36" s="46"/>
      <c r="Q36" s="168">
        <f t="shared" si="2"/>
        <v>91</v>
      </c>
    </row>
    <row r="37" spans="3:17" ht="11.25" customHeight="1">
      <c r="C37" s="1" t="s">
        <v>129</v>
      </c>
      <c r="E37" s="46">
        <v>408</v>
      </c>
      <c r="F37" s="46"/>
      <c r="G37" s="46">
        <v>630</v>
      </c>
      <c r="H37" s="508"/>
      <c r="I37" s="46">
        <v>227</v>
      </c>
      <c r="J37" s="508"/>
      <c r="K37" s="46">
        <v>0</v>
      </c>
      <c r="L37" s="46"/>
      <c r="M37" s="167">
        <f>(E37+G37+I37+K37)</f>
        <v>1265</v>
      </c>
      <c r="N37" s="46"/>
      <c r="O37" s="46">
        <v>17</v>
      </c>
      <c r="P37" s="46"/>
      <c r="Q37" s="168">
        <f t="shared" si="2"/>
        <v>1282</v>
      </c>
    </row>
    <row r="38" spans="3:17" ht="11.25" customHeight="1">
      <c r="C38" s="1" t="s">
        <v>127</v>
      </c>
      <c r="E38" s="46">
        <v>370</v>
      </c>
      <c r="F38" s="46"/>
      <c r="G38" s="46">
        <v>452</v>
      </c>
      <c r="H38" s="508"/>
      <c r="I38" s="46">
        <v>48</v>
      </c>
      <c r="J38" s="508"/>
      <c r="K38" s="46">
        <v>198</v>
      </c>
      <c r="L38" s="46"/>
      <c r="M38" s="167">
        <f>E38+G38+I38+K38</f>
        <v>1068</v>
      </c>
      <c r="N38" s="46"/>
      <c r="O38" s="46">
        <v>23</v>
      </c>
      <c r="P38" s="46"/>
      <c r="Q38" s="168">
        <f t="shared" si="2"/>
        <v>1091</v>
      </c>
    </row>
    <row r="39" spans="3:17" ht="11.25" customHeight="1">
      <c r="C39" s="1" t="s">
        <v>57</v>
      </c>
      <c r="E39" s="257">
        <f>E34-E35-E36-E37-E38</f>
        <v>498</v>
      </c>
      <c r="F39" s="257"/>
      <c r="G39" s="257">
        <f>G34-G35-G36-G37-G38</f>
        <v>459</v>
      </c>
      <c r="H39" s="257"/>
      <c r="I39" s="257">
        <f>I34-I35-I36-I37-I38</f>
        <v>266</v>
      </c>
      <c r="J39" s="257"/>
      <c r="K39" s="257">
        <f>K34-K35-K36-K37-K38</f>
        <v>-199</v>
      </c>
      <c r="L39" s="257"/>
      <c r="M39" s="257">
        <f>M34-M35-M36-M37-M38</f>
        <v>1024</v>
      </c>
      <c r="N39" s="257"/>
      <c r="O39" s="257">
        <f>O34-O35-O36-O37-O38</f>
        <v>65</v>
      </c>
      <c r="P39" s="257"/>
      <c r="Q39" s="257">
        <f>Q34-Q35-Q36-Q37-Q38</f>
        <v>1089</v>
      </c>
    </row>
    <row r="40" spans="5:17" ht="6" customHeight="1">
      <c r="E40" s="47"/>
      <c r="F40" s="47"/>
      <c r="G40" s="48"/>
      <c r="H40" s="48"/>
      <c r="I40" s="47"/>
      <c r="J40" s="47"/>
      <c r="K40" s="47"/>
      <c r="L40" s="47"/>
      <c r="M40" s="47"/>
      <c r="N40" s="47"/>
      <c r="O40" s="47"/>
      <c r="P40" s="47"/>
      <c r="Q40" s="47"/>
    </row>
    <row r="41" spans="3:17" ht="11.25" customHeight="1">
      <c r="C41" s="1" t="s">
        <v>121</v>
      </c>
      <c r="E41" s="46">
        <v>643</v>
      </c>
      <c r="F41" s="46"/>
      <c r="G41" s="46">
        <v>273</v>
      </c>
      <c r="H41" s="46"/>
      <c r="I41" s="46">
        <v>159</v>
      </c>
      <c r="J41" s="46"/>
      <c r="K41" s="46">
        <v>68</v>
      </c>
      <c r="L41" s="46"/>
      <c r="M41" s="167">
        <f>(E41+G41+I41+K41)</f>
        <v>1143</v>
      </c>
      <c r="N41" s="46"/>
      <c r="O41" s="167">
        <v>30</v>
      </c>
      <c r="P41" s="46"/>
      <c r="Q41" s="168">
        <f>M41+O41</f>
        <v>1173</v>
      </c>
    </row>
    <row r="42" spans="3:19" ht="11.25" customHeight="1">
      <c r="C42" s="171" t="s">
        <v>166</v>
      </c>
      <c r="D42" s="171"/>
      <c r="E42" s="210">
        <v>-72</v>
      </c>
      <c r="F42" s="210"/>
      <c r="G42" s="210">
        <v>-24</v>
      </c>
      <c r="H42" s="210"/>
      <c r="I42" s="210">
        <v>-7</v>
      </c>
      <c r="J42" s="210"/>
      <c r="K42" s="210">
        <v>13</v>
      </c>
      <c r="L42" s="210"/>
      <c r="M42" s="167">
        <f>(E42+G42+I42+K42)</f>
        <v>-90</v>
      </c>
      <c r="N42" s="210"/>
      <c r="O42" s="167">
        <v>-23</v>
      </c>
      <c r="P42" s="210"/>
      <c r="Q42" s="168">
        <f>M42+O42</f>
        <v>-113</v>
      </c>
      <c r="R42" s="171"/>
      <c r="S42" s="171"/>
    </row>
    <row r="43" spans="3:17" ht="11.25" customHeight="1">
      <c r="C43" s="1" t="s">
        <v>139</v>
      </c>
      <c r="E43" s="46">
        <v>0</v>
      </c>
      <c r="F43" s="46"/>
      <c r="G43" s="46">
        <v>0</v>
      </c>
      <c r="H43" s="46"/>
      <c r="I43" s="46">
        <v>0</v>
      </c>
      <c r="J43" s="46"/>
      <c r="K43" s="46">
        <v>134</v>
      </c>
      <c r="L43" s="46"/>
      <c r="M43" s="167">
        <f>(E43+G43+I43+K43)</f>
        <v>134</v>
      </c>
      <c r="N43" s="46"/>
      <c r="O43" s="167">
        <v>0</v>
      </c>
      <c r="P43" s="46"/>
      <c r="Q43" s="168">
        <f>M43+O43</f>
        <v>134</v>
      </c>
    </row>
    <row r="44" spans="3:17" ht="11.25" customHeight="1">
      <c r="C44" s="1" t="s">
        <v>245</v>
      </c>
      <c r="E44" s="46">
        <v>11</v>
      </c>
      <c r="F44" s="46"/>
      <c r="G44" s="46">
        <v>3</v>
      </c>
      <c r="H44" s="46"/>
      <c r="I44" s="46">
        <v>6</v>
      </c>
      <c r="J44" s="46"/>
      <c r="K44" s="46">
        <v>-39</v>
      </c>
      <c r="L44" s="46"/>
      <c r="M44" s="167">
        <f>(E44+G44+I44+K44)</f>
        <v>-19</v>
      </c>
      <c r="N44" s="46"/>
      <c r="O44" s="167">
        <v>0</v>
      </c>
      <c r="P44" s="46"/>
      <c r="Q44" s="168">
        <f>M44+O44</f>
        <v>-19</v>
      </c>
    </row>
    <row r="45" spans="3:17" ht="11.25" customHeight="1">
      <c r="C45" s="1" t="s">
        <v>151</v>
      </c>
      <c r="E45" s="46">
        <v>263</v>
      </c>
      <c r="F45" s="46"/>
      <c r="G45" s="46">
        <v>163</v>
      </c>
      <c r="H45" s="46"/>
      <c r="I45" s="46">
        <v>29</v>
      </c>
      <c r="J45" s="46"/>
      <c r="K45" s="46">
        <v>-56</v>
      </c>
      <c r="L45" s="46"/>
      <c r="M45" s="167">
        <f>(E45+G45+I45+K45)</f>
        <v>399</v>
      </c>
      <c r="N45" s="46"/>
      <c r="O45" s="167">
        <v>-1</v>
      </c>
      <c r="P45" s="46"/>
      <c r="Q45" s="168">
        <f>M45+O45</f>
        <v>398</v>
      </c>
    </row>
    <row r="46" spans="3:17" ht="11.25" customHeight="1">
      <c r="C46" s="1" t="s">
        <v>380</v>
      </c>
      <c r="E46" s="46"/>
      <c r="F46" s="46"/>
      <c r="G46" s="46"/>
      <c r="H46" s="46"/>
      <c r="I46" s="46"/>
      <c r="J46" s="46"/>
      <c r="K46" s="46"/>
      <c r="L46" s="46"/>
      <c r="M46" s="167"/>
      <c r="N46" s="46"/>
      <c r="O46" s="167"/>
      <c r="P46" s="46"/>
      <c r="Q46" s="168"/>
    </row>
    <row r="47" spans="3:17" ht="11.25">
      <c r="C47" s="200" t="s">
        <v>381</v>
      </c>
      <c r="E47" s="46">
        <v>0</v>
      </c>
      <c r="F47" s="46"/>
      <c r="G47" s="46">
        <v>0</v>
      </c>
      <c r="H47" s="46"/>
      <c r="I47" s="46">
        <v>0</v>
      </c>
      <c r="J47" s="46"/>
      <c r="K47" s="46">
        <v>4</v>
      </c>
      <c r="L47" s="46"/>
      <c r="M47" s="167">
        <f>(E47+G47+I47+K47)</f>
        <v>4</v>
      </c>
      <c r="N47" s="46"/>
      <c r="O47" s="167">
        <v>0</v>
      </c>
      <c r="P47" s="46"/>
      <c r="Q47" s="168">
        <f>M47+O47</f>
        <v>4</v>
      </c>
    </row>
    <row r="48" spans="3:19" ht="11.25" customHeight="1">
      <c r="C48" s="171" t="s">
        <v>58</v>
      </c>
      <c r="D48" s="200"/>
      <c r="E48" s="258">
        <f>+E39+E41-E44-E43-E45+E42+E47</f>
        <v>795</v>
      </c>
      <c r="F48" s="258"/>
      <c r="G48" s="258">
        <f>+G39+G41-G44-G43-G45+G42+G47</f>
        <v>542</v>
      </c>
      <c r="H48" s="258"/>
      <c r="I48" s="258">
        <f>+I39+I41-I44-I43-I45+I42+I47</f>
        <v>383</v>
      </c>
      <c r="J48" s="258"/>
      <c r="K48" s="258">
        <f>+K39+K41-K44-K43-K45+K42+K47</f>
        <v>-153</v>
      </c>
      <c r="L48" s="258"/>
      <c r="M48" s="258">
        <f>+M39+M41-M44-M43-M45+M42+M47</f>
        <v>1567</v>
      </c>
      <c r="N48" s="258"/>
      <c r="O48" s="258">
        <f>+O39+O41-O44-O43-O45+O42+O47</f>
        <v>73</v>
      </c>
      <c r="P48" s="258"/>
      <c r="Q48" s="258">
        <f>+Q39+Q41-Q44-Q43-Q45+Q42+Q47</f>
        <v>1640</v>
      </c>
      <c r="R48" s="171"/>
      <c r="S48" s="171"/>
    </row>
    <row r="49" spans="3:19" ht="6" customHeight="1">
      <c r="C49" s="200"/>
      <c r="D49" s="200"/>
      <c r="E49" s="212"/>
      <c r="F49" s="212"/>
      <c r="G49" s="212"/>
      <c r="H49" s="212"/>
      <c r="I49" s="212"/>
      <c r="J49" s="212"/>
      <c r="K49" s="212"/>
      <c r="L49" s="212"/>
      <c r="M49" s="212"/>
      <c r="N49" s="212"/>
      <c r="O49" s="212"/>
      <c r="P49" s="212"/>
      <c r="Q49" s="212"/>
      <c r="R49" s="171"/>
      <c r="S49" s="171"/>
    </row>
    <row r="50" spans="3:19" ht="11.25" customHeight="1">
      <c r="C50" s="171" t="s">
        <v>166</v>
      </c>
      <c r="D50" s="171"/>
      <c r="E50" s="210">
        <v>-72</v>
      </c>
      <c r="F50" s="210"/>
      <c r="G50" s="210">
        <v>-24</v>
      </c>
      <c r="H50" s="210"/>
      <c r="I50" s="210">
        <v>-7</v>
      </c>
      <c r="J50" s="210"/>
      <c r="K50" s="210">
        <v>13</v>
      </c>
      <c r="L50" s="210"/>
      <c r="M50" s="210">
        <f>(E50+G50+I50+K50)</f>
        <v>-90</v>
      </c>
      <c r="N50" s="210"/>
      <c r="O50" s="210">
        <v>-23</v>
      </c>
      <c r="P50" s="210"/>
      <c r="Q50" s="210">
        <f>M50+O50</f>
        <v>-113</v>
      </c>
      <c r="R50" s="171"/>
      <c r="S50" s="171"/>
    </row>
    <row r="51" spans="3:19" ht="11.25" customHeight="1">
      <c r="C51" s="172" t="s">
        <v>246</v>
      </c>
      <c r="D51" s="172"/>
      <c r="E51" s="53">
        <v>-39</v>
      </c>
      <c r="F51" s="210"/>
      <c r="G51" s="210">
        <v>1</v>
      </c>
      <c r="H51" s="210"/>
      <c r="I51" s="210">
        <v>-2</v>
      </c>
      <c r="J51" s="210"/>
      <c r="K51" s="210">
        <v>-1</v>
      </c>
      <c r="L51" s="210"/>
      <c r="M51" s="167">
        <f>(E51+G51+I51+K51)</f>
        <v>-41</v>
      </c>
      <c r="N51" s="210"/>
      <c r="O51" s="210">
        <v>0</v>
      </c>
      <c r="P51" s="210"/>
      <c r="Q51" s="168">
        <f>M51+O51</f>
        <v>-41</v>
      </c>
      <c r="R51" s="171"/>
      <c r="S51" s="171"/>
    </row>
    <row r="52" spans="3:19" ht="11.25" customHeight="1">
      <c r="C52" s="172" t="s">
        <v>382</v>
      </c>
      <c r="D52" s="172"/>
      <c r="E52" s="53"/>
      <c r="F52" s="210"/>
      <c r="G52" s="210"/>
      <c r="H52" s="210"/>
      <c r="I52" s="210"/>
      <c r="J52" s="210"/>
      <c r="K52" s="210"/>
      <c r="L52" s="210"/>
      <c r="M52" s="167"/>
      <c r="N52" s="210"/>
      <c r="O52" s="210"/>
      <c r="P52" s="210"/>
      <c r="Q52" s="168"/>
      <c r="R52" s="171"/>
      <c r="S52" s="171"/>
    </row>
    <row r="53" spans="3:19" ht="11.25">
      <c r="C53" s="200" t="s">
        <v>381</v>
      </c>
      <c r="D53" s="172"/>
      <c r="E53" s="53">
        <v>0</v>
      </c>
      <c r="F53" s="210"/>
      <c r="G53" s="210">
        <v>0</v>
      </c>
      <c r="H53" s="210"/>
      <c r="I53" s="210">
        <v>0</v>
      </c>
      <c r="J53" s="210"/>
      <c r="K53" s="210">
        <v>4</v>
      </c>
      <c r="L53" s="210"/>
      <c r="M53" s="167">
        <f>(E53+G53+I53+K53)</f>
        <v>4</v>
      </c>
      <c r="N53" s="210"/>
      <c r="O53" s="210">
        <v>0</v>
      </c>
      <c r="P53" s="210"/>
      <c r="Q53" s="168">
        <f>M53+O53</f>
        <v>4</v>
      </c>
      <c r="R53" s="171"/>
      <c r="S53" s="171"/>
    </row>
    <row r="54" spans="3:19" ht="13.5" customHeight="1" thickBot="1">
      <c r="C54" s="172" t="s">
        <v>248</v>
      </c>
      <c r="D54" s="171"/>
      <c r="E54" s="211">
        <f>E48-E50+E51-E53</f>
        <v>828</v>
      </c>
      <c r="F54" s="193"/>
      <c r="G54" s="211">
        <f>G48-G50+G51-G53</f>
        <v>567</v>
      </c>
      <c r="H54" s="211"/>
      <c r="I54" s="211">
        <f>I48-I50+I51-I53</f>
        <v>388</v>
      </c>
      <c r="J54" s="193"/>
      <c r="K54" s="211">
        <f>K48-K50+K51-K53</f>
        <v>-171</v>
      </c>
      <c r="L54" s="193"/>
      <c r="M54" s="211">
        <f>M48-M50+M51-M53</f>
        <v>1612</v>
      </c>
      <c r="N54" s="193"/>
      <c r="O54" s="211">
        <f>O48-O50+O51-O53</f>
        <v>96</v>
      </c>
      <c r="P54" s="193"/>
      <c r="Q54" s="211">
        <f>Q48-Q50+Q51-Q53</f>
        <v>1708</v>
      </c>
      <c r="R54" s="171"/>
      <c r="S54" s="171"/>
    </row>
    <row r="55" spans="3:17" ht="11.25" customHeight="1" thickTop="1">
      <c r="C55" s="526" t="str">
        <f>+'Financial Highlights'!C49</f>
        <v>(1) See page 21 Non-GAAP Financial Measures.</v>
      </c>
      <c r="D55" s="42"/>
      <c r="E55" s="51"/>
      <c r="F55" s="50"/>
      <c r="G55" s="51"/>
      <c r="H55" s="51"/>
      <c r="I55" s="50"/>
      <c r="J55" s="50"/>
      <c r="K55" s="32"/>
      <c r="L55" s="32"/>
      <c r="M55" s="50"/>
      <c r="N55" s="50"/>
      <c r="O55" s="50"/>
      <c r="P55" s="50"/>
      <c r="Q55" s="50"/>
    </row>
    <row r="56" spans="5:17" ht="11.25">
      <c r="E56" s="363"/>
      <c r="F56" s="40"/>
      <c r="H56" s="363"/>
      <c r="J56" s="40"/>
      <c r="K56" s="40"/>
      <c r="L56" s="40"/>
      <c r="M56" s="40"/>
      <c r="N56" s="40"/>
      <c r="O56" s="40"/>
      <c r="P56" s="40"/>
      <c r="Q56" s="42"/>
    </row>
    <row r="57" spans="5:17" ht="11.25">
      <c r="E57" s="40"/>
      <c r="F57" s="40"/>
      <c r="H57" s="363"/>
      <c r="J57" s="40"/>
      <c r="K57" s="40"/>
      <c r="L57" s="40"/>
      <c r="M57" s="40"/>
      <c r="N57" s="40"/>
      <c r="O57" s="40"/>
      <c r="P57" s="40"/>
      <c r="Q57" s="42"/>
    </row>
    <row r="58" spans="3:17" ht="11.25">
      <c r="C58" s="80" t="s">
        <v>450</v>
      </c>
      <c r="E58" s="40"/>
      <c r="F58" s="40"/>
      <c r="H58" s="363"/>
      <c r="J58" s="40"/>
      <c r="K58" s="40"/>
      <c r="L58" s="40"/>
      <c r="M58" s="40"/>
      <c r="N58" s="40"/>
      <c r="O58" s="40"/>
      <c r="P58" s="40"/>
      <c r="Q58" s="42"/>
    </row>
    <row r="59" spans="3:17" ht="11.25" customHeight="1">
      <c r="C59" s="1" t="s">
        <v>123</v>
      </c>
      <c r="E59" s="16">
        <v>0.711</v>
      </c>
      <c r="F59" s="16"/>
      <c r="G59" s="16">
        <v>0.527</v>
      </c>
      <c r="H59" s="26"/>
      <c r="I59" s="16">
        <v>0.516</v>
      </c>
      <c r="J59" s="16"/>
      <c r="K59" s="50"/>
      <c r="L59" s="50"/>
      <c r="M59" s="16">
        <v>0.62</v>
      </c>
      <c r="N59" s="50"/>
      <c r="O59" s="256"/>
      <c r="P59"/>
      <c r="Q59" s="16">
        <v>0.62</v>
      </c>
    </row>
    <row r="60" spans="3:17" ht="11.25" customHeight="1">
      <c r="C60" s="1" t="s">
        <v>130</v>
      </c>
      <c r="E60" s="16">
        <v>0.086</v>
      </c>
      <c r="F60" s="16"/>
      <c r="G60" s="16">
        <v>0.205</v>
      </c>
      <c r="H60" s="26"/>
      <c r="I60" s="16">
        <v>0.193</v>
      </c>
      <c r="J60" s="16"/>
      <c r="K60" s="50"/>
      <c r="L60" s="50"/>
      <c r="M60" s="16">
        <v>0.143</v>
      </c>
      <c r="N60" s="50"/>
      <c r="O60" s="256"/>
      <c r="P60"/>
      <c r="Q60" s="16">
        <v>0.143</v>
      </c>
    </row>
    <row r="61" spans="3:17" ht="11.25" customHeight="1">
      <c r="C61" s="1" t="s">
        <v>138</v>
      </c>
      <c r="E61" s="18">
        <v>0.085</v>
      </c>
      <c r="F61" s="18"/>
      <c r="G61" s="18">
        <v>0.145</v>
      </c>
      <c r="H61" s="27"/>
      <c r="I61" s="18">
        <v>0.047</v>
      </c>
      <c r="J61" s="17"/>
      <c r="K61" s="50"/>
      <c r="L61" s="50"/>
      <c r="M61" s="18">
        <v>0.115</v>
      </c>
      <c r="N61" s="50"/>
      <c r="O61" s="256"/>
      <c r="P61" s="256"/>
      <c r="Q61" s="18">
        <v>0.115</v>
      </c>
    </row>
    <row r="62" spans="3:18" ht="11.25" customHeight="1" thickBot="1">
      <c r="C62" s="7" t="s">
        <v>54</v>
      </c>
      <c r="D62" s="7"/>
      <c r="E62" s="179">
        <f>SUM(E59:E61)</f>
        <v>0.8819999999999999</v>
      </c>
      <c r="F62" s="179"/>
      <c r="G62" s="179">
        <f>SUM(G59:G61)</f>
        <v>0.877</v>
      </c>
      <c r="H62" s="189"/>
      <c r="I62" s="179">
        <f>SUM(I59:I61)</f>
        <v>0.7560000000000001</v>
      </c>
      <c r="J62" s="17"/>
      <c r="K62" s="50"/>
      <c r="L62" s="50"/>
      <c r="M62" s="179">
        <f>SUM(M59:M61)</f>
        <v>0.878</v>
      </c>
      <c r="N62" s="179"/>
      <c r="O62" s="256"/>
      <c r="P62"/>
      <c r="Q62" s="179">
        <f>SUM(Q59:Q61)</f>
        <v>0.878</v>
      </c>
      <c r="R62" s="162"/>
    </row>
    <row r="63" spans="15:16" ht="13.5" thickTop="1">
      <c r="O63"/>
      <c r="P63"/>
    </row>
  </sheetData>
  <conditionalFormatting sqref="G26 I26 K26 Q26 M26 O26 E26">
    <cfRule type="cellIs" priority="1" dxfId="0" operator="notEqual" stopIfTrue="1">
      <formula>E20</formula>
    </cfRule>
  </conditionalFormatting>
  <conditionalFormatting sqref="E50 G50 I50 K50 M50 Q50 O50">
    <cfRule type="cellIs" priority="2" dxfId="0" operator="notEqual" stopIfTrue="1">
      <formula>E42</formula>
    </cfRule>
  </conditionalFormatting>
  <hyperlinks>
    <hyperlink ref="C55" location="'Reconciliation Non-GAAP'!Print_Area" display="'Reconciliation Non-GAAP'!Print_Area"/>
  </hyperlinks>
  <printOptions/>
  <pageMargins left="0.5" right="0.5" top="0.5" bottom="0.55" header="0.75" footer="0.3"/>
  <pageSetup fitToHeight="1" fitToWidth="1" horizontalDpi="600" verticalDpi="600" orientation="landscape" scale="90" r:id="rId2"/>
  <headerFooter alignWithMargins="0">
    <oddFooter>&amp;L&amp;A&amp;R&amp;"Arial,Regular"&amp;8Page 6</oddFooter>
  </headerFooter>
  <drawing r:id="rId1"/>
</worksheet>
</file>

<file path=xl/worksheets/sheet9.xml><?xml version="1.0" encoding="utf-8"?>
<worksheet xmlns="http://schemas.openxmlformats.org/spreadsheetml/2006/main" xmlns:r="http://schemas.openxmlformats.org/officeDocument/2006/relationships">
  <sheetPr codeName="Sheet18"/>
  <dimension ref="C1:S47"/>
  <sheetViews>
    <sheetView workbookViewId="0" topLeftCell="A1">
      <selection activeCell="A1" sqref="A1"/>
    </sheetView>
  </sheetViews>
  <sheetFormatPr defaultColWidth="9.33203125" defaultRowHeight="12.75"/>
  <cols>
    <col min="1" max="2" width="3.33203125" style="1" customWidth="1"/>
    <col min="3" max="3" width="42.5" style="1" customWidth="1"/>
    <col min="4" max="4" width="8.83203125" style="1" customWidth="1"/>
    <col min="5" max="5" width="2.33203125" style="1" customWidth="1"/>
    <col min="6" max="6" width="8.83203125" style="1" customWidth="1"/>
    <col min="7" max="7" width="2.33203125" style="1" customWidth="1"/>
    <col min="8" max="8" width="8.83203125" style="1" customWidth="1"/>
    <col min="9" max="9" width="2.33203125" style="1" customWidth="1"/>
    <col min="10" max="10" width="8.83203125" style="1" customWidth="1"/>
    <col min="11" max="11" width="2.33203125" style="1" customWidth="1"/>
    <col min="12" max="12" width="8.83203125" style="1" customWidth="1"/>
    <col min="13" max="13" width="2.33203125" style="1" customWidth="1"/>
    <col min="14" max="14" width="8.83203125" style="1" customWidth="1"/>
    <col min="15" max="15" width="2.33203125" style="1" customWidth="1"/>
    <col min="16" max="16" width="8.83203125" style="42" customWidth="1"/>
    <col min="17" max="17" width="2.33203125" style="1" customWidth="1"/>
    <col min="18" max="18" width="8.83203125" style="1" customWidth="1"/>
    <col min="19" max="19" width="4" style="1" customWidth="1"/>
    <col min="20" max="16384" width="9" style="1" customWidth="1"/>
  </cols>
  <sheetData>
    <row r="1" spans="3:19" ht="12.75">
      <c r="C1" s="626" t="s">
        <v>89</v>
      </c>
      <c r="D1" s="626"/>
      <c r="E1" s="626"/>
      <c r="F1" s="626"/>
      <c r="G1" s="626"/>
      <c r="H1" s="626"/>
      <c r="I1" s="626"/>
      <c r="J1" s="626"/>
      <c r="K1" s="626"/>
      <c r="L1" s="626"/>
      <c r="M1" s="626"/>
      <c r="N1" s="626"/>
      <c r="O1" s="626"/>
      <c r="P1" s="626"/>
      <c r="Q1" s="626"/>
      <c r="R1" s="626"/>
      <c r="S1" s="626"/>
    </row>
    <row r="2" spans="3:19" ht="12">
      <c r="C2" s="627" t="s">
        <v>75</v>
      </c>
      <c r="D2" s="627"/>
      <c r="E2" s="627"/>
      <c r="F2" s="627"/>
      <c r="G2" s="627"/>
      <c r="H2" s="627"/>
      <c r="I2" s="627"/>
      <c r="J2" s="627"/>
      <c r="K2" s="627"/>
      <c r="L2" s="627"/>
      <c r="M2" s="627"/>
      <c r="N2" s="627"/>
      <c r="O2" s="627"/>
      <c r="P2" s="627"/>
      <c r="Q2" s="627"/>
      <c r="R2" s="627"/>
      <c r="S2" s="627"/>
    </row>
    <row r="3" spans="3:19" ht="12">
      <c r="C3" s="602" t="s">
        <v>147</v>
      </c>
      <c r="D3" s="602"/>
      <c r="E3" s="602"/>
      <c r="F3" s="602"/>
      <c r="G3" s="602"/>
      <c r="H3" s="602"/>
      <c r="I3" s="602"/>
      <c r="J3" s="602"/>
      <c r="K3" s="602"/>
      <c r="L3" s="602"/>
      <c r="M3" s="602"/>
      <c r="N3" s="602"/>
      <c r="O3" s="602"/>
      <c r="P3" s="602"/>
      <c r="Q3" s="602"/>
      <c r="R3" s="602"/>
      <c r="S3" s="602"/>
    </row>
    <row r="4" spans="3:19" ht="12">
      <c r="C4" s="602" t="s">
        <v>163</v>
      </c>
      <c r="D4" s="602"/>
      <c r="E4" s="602"/>
      <c r="F4" s="602"/>
      <c r="G4" s="602"/>
      <c r="H4" s="602"/>
      <c r="I4" s="602"/>
      <c r="J4" s="602"/>
      <c r="K4" s="602"/>
      <c r="L4" s="602"/>
      <c r="M4" s="602"/>
      <c r="N4" s="602"/>
      <c r="O4" s="602"/>
      <c r="P4" s="602"/>
      <c r="Q4" s="602"/>
      <c r="R4" s="602"/>
      <c r="S4" s="602"/>
    </row>
    <row r="5" spans="3:19" ht="11.25" customHeight="1">
      <c r="C5" s="501"/>
      <c r="D5" s="89"/>
      <c r="E5" s="89"/>
      <c r="F5" s="89"/>
      <c r="G5" s="89"/>
      <c r="H5" s="89"/>
      <c r="I5" s="89"/>
      <c r="J5" s="89"/>
      <c r="K5" s="89"/>
      <c r="L5" s="89"/>
      <c r="M5" s="89"/>
      <c r="N5" s="89"/>
      <c r="O5" s="89"/>
      <c r="P5" s="447"/>
      <c r="Q5" s="89"/>
      <c r="R5" s="89"/>
      <c r="S5" s="89"/>
    </row>
    <row r="6" spans="3:19" ht="12.75">
      <c r="C6" s="3" t="s">
        <v>181</v>
      </c>
      <c r="D6" s="3"/>
      <c r="E6" s="3"/>
      <c r="F6" s="3"/>
      <c r="N6" s="416" t="s">
        <v>255</v>
      </c>
      <c r="O6" s="405"/>
      <c r="P6" s="416" t="s">
        <v>255</v>
      </c>
      <c r="R6" s="416" t="s">
        <v>17</v>
      </c>
      <c r="S6" s="429"/>
    </row>
    <row r="7" spans="4:19" ht="11.25">
      <c r="D7" s="4" t="s">
        <v>441</v>
      </c>
      <c r="E7" s="79"/>
      <c r="F7" s="4" t="s">
        <v>418</v>
      </c>
      <c r="G7" s="79"/>
      <c r="H7" s="4" t="s">
        <v>372</v>
      </c>
      <c r="I7" s="79"/>
      <c r="J7" s="4" t="s">
        <v>358</v>
      </c>
      <c r="K7" s="79"/>
      <c r="L7" s="4" t="s">
        <v>351</v>
      </c>
      <c r="M7" s="4"/>
      <c r="N7" s="22">
        <v>2007</v>
      </c>
      <c r="O7" s="4"/>
      <c r="P7" s="595">
        <v>2006</v>
      </c>
      <c r="Q7" s="4"/>
      <c r="R7" s="22">
        <v>2006</v>
      </c>
      <c r="S7" s="29"/>
    </row>
    <row r="8" spans="6:19" ht="13.5" customHeight="1">
      <c r="F8" s="2"/>
      <c r="H8" s="2"/>
      <c r="J8" s="2"/>
      <c r="L8" s="2"/>
      <c r="N8" s="2"/>
      <c r="P8" s="253"/>
      <c r="R8" s="2"/>
      <c r="S8" s="125"/>
    </row>
    <row r="9" spans="3:19" ht="11.25" customHeight="1">
      <c r="C9" s="1" t="s">
        <v>124</v>
      </c>
      <c r="D9" s="37">
        <f>+'Segment  2007 Qtr'!E10</f>
        <v>2708</v>
      </c>
      <c r="F9" s="37">
        <v>2589</v>
      </c>
      <c r="G9" s="31"/>
      <c r="H9" s="37">
        <v>2269</v>
      </c>
      <c r="I9" s="31"/>
      <c r="J9" s="31">
        <v>2236</v>
      </c>
      <c r="K9" s="31"/>
      <c r="L9" s="31">
        <v>2550</v>
      </c>
      <c r="M9" s="31"/>
      <c r="N9" s="31">
        <f aca="true" t="shared" si="0" ref="N9:N14">+H9+F9+D9</f>
        <v>7566</v>
      </c>
      <c r="O9" s="31"/>
      <c r="P9" s="31">
        <v>7427</v>
      </c>
      <c r="Q9" s="31"/>
      <c r="R9" s="31">
        <v>9663</v>
      </c>
      <c r="S9" s="516"/>
    </row>
    <row r="10" spans="3:19" ht="11.25" customHeight="1">
      <c r="C10" s="1" t="s">
        <v>125</v>
      </c>
      <c r="D10" s="53">
        <f>+'Segment  2007 Qtr'!E11</f>
        <v>1449</v>
      </c>
      <c r="F10" s="53">
        <v>1497</v>
      </c>
      <c r="G10" s="40"/>
      <c r="H10" s="53">
        <v>1514</v>
      </c>
      <c r="I10" s="40"/>
      <c r="J10" s="53">
        <v>1476</v>
      </c>
      <c r="K10" s="40"/>
      <c r="L10" s="53">
        <v>1459</v>
      </c>
      <c r="M10" s="40"/>
      <c r="N10" s="53">
        <f t="shared" si="0"/>
        <v>4460</v>
      </c>
      <c r="O10" s="40"/>
      <c r="P10" s="53">
        <v>4464</v>
      </c>
      <c r="Q10" s="40"/>
      <c r="R10" s="53">
        <v>5940</v>
      </c>
      <c r="S10" s="516"/>
    </row>
    <row r="11" spans="3:19" ht="11.25" customHeight="1">
      <c r="C11" s="1" t="s">
        <v>126</v>
      </c>
      <c r="D11" s="53">
        <f>+'Segment  2007 Qtr'!E12</f>
        <v>1595</v>
      </c>
      <c r="F11" s="53">
        <v>1455</v>
      </c>
      <c r="G11" s="40"/>
      <c r="H11" s="53">
        <v>1539</v>
      </c>
      <c r="I11" s="40"/>
      <c r="J11" s="53">
        <v>1471</v>
      </c>
      <c r="K11" s="40"/>
      <c r="L11" s="53">
        <v>1547</v>
      </c>
      <c r="M11" s="40"/>
      <c r="N11" s="53">
        <f t="shared" si="0"/>
        <v>4589</v>
      </c>
      <c r="O11" s="40"/>
      <c r="P11" s="53">
        <v>4248</v>
      </c>
      <c r="Q11" s="40"/>
      <c r="R11" s="53">
        <v>5719</v>
      </c>
      <c r="S11" s="516"/>
    </row>
    <row r="12" spans="3:19" ht="11.25" customHeight="1">
      <c r="C12" s="1" t="s">
        <v>119</v>
      </c>
      <c r="D12" s="53">
        <f>+'Segment  2007 Qtr'!E13</f>
        <v>1138</v>
      </c>
      <c r="F12" s="53">
        <v>1016</v>
      </c>
      <c r="G12" s="40"/>
      <c r="H12" s="53">
        <v>1111</v>
      </c>
      <c r="I12" s="40"/>
      <c r="J12" s="53">
        <v>1054</v>
      </c>
      <c r="K12" s="40"/>
      <c r="L12" s="53">
        <v>1090</v>
      </c>
      <c r="M12" s="40"/>
      <c r="N12" s="53">
        <f t="shared" si="0"/>
        <v>3265</v>
      </c>
      <c r="O12" s="40"/>
      <c r="P12" s="53">
        <v>2972</v>
      </c>
      <c r="Q12" s="40"/>
      <c r="R12" s="53">
        <v>4026</v>
      </c>
      <c r="S12" s="516"/>
    </row>
    <row r="13" spans="3:19" ht="11.25" customHeight="1">
      <c r="C13" s="1" t="s">
        <v>129</v>
      </c>
      <c r="D13" s="53">
        <f>+'Segment  2007 Qtr'!E15</f>
        <v>150</v>
      </c>
      <c r="F13" s="53">
        <v>128</v>
      </c>
      <c r="G13" s="40"/>
      <c r="H13" s="53">
        <v>116</v>
      </c>
      <c r="I13" s="40"/>
      <c r="J13" s="53">
        <v>122</v>
      </c>
      <c r="K13" s="40"/>
      <c r="L13" s="53">
        <v>142</v>
      </c>
      <c r="M13" s="40"/>
      <c r="N13" s="53">
        <f t="shared" si="0"/>
        <v>394</v>
      </c>
      <c r="O13" s="40"/>
      <c r="P13" s="53">
        <v>408</v>
      </c>
      <c r="Q13" s="40"/>
      <c r="R13" s="53">
        <v>530</v>
      </c>
      <c r="S13" s="516"/>
    </row>
    <row r="14" spans="3:19" ht="11.25" customHeight="1">
      <c r="C14" s="1" t="s">
        <v>127</v>
      </c>
      <c r="D14" s="53">
        <f>+'Segment  2007 Qtr'!E16</f>
        <v>129</v>
      </c>
      <c r="E14" s="79"/>
      <c r="F14" s="53">
        <v>130</v>
      </c>
      <c r="G14" s="85"/>
      <c r="H14" s="53">
        <v>133</v>
      </c>
      <c r="I14" s="85"/>
      <c r="J14" s="53">
        <v>132</v>
      </c>
      <c r="K14" s="85"/>
      <c r="L14" s="53">
        <v>129</v>
      </c>
      <c r="M14" s="85"/>
      <c r="N14" s="53">
        <f t="shared" si="0"/>
        <v>392</v>
      </c>
      <c r="O14" s="85"/>
      <c r="P14" s="53">
        <v>370</v>
      </c>
      <c r="Q14" s="85"/>
      <c r="R14" s="53">
        <v>502</v>
      </c>
      <c r="S14" s="516"/>
    </row>
    <row r="15" spans="3:19" ht="11.25" customHeight="1">
      <c r="C15" s="1" t="s">
        <v>55</v>
      </c>
      <c r="D15" s="437">
        <f>D11-D12-D13-D14</f>
        <v>178</v>
      </c>
      <c r="F15" s="437">
        <f>F11-F12-F13-F14</f>
        <v>181</v>
      </c>
      <c r="G15" s="257"/>
      <c r="H15" s="437">
        <f>H11-H12-H13-H14</f>
        <v>179</v>
      </c>
      <c r="I15" s="257"/>
      <c r="J15" s="257">
        <f>J11-J12-J13-J14</f>
        <v>163</v>
      </c>
      <c r="K15" s="257"/>
      <c r="L15" s="257">
        <f>L11-L12-L13-L14</f>
        <v>186</v>
      </c>
      <c r="M15" s="257"/>
      <c r="N15" s="257">
        <f>N11-N12-N13-N14</f>
        <v>538</v>
      </c>
      <c r="O15" s="257"/>
      <c r="P15" s="257">
        <f>P11-P12-P13-P14</f>
        <v>498</v>
      </c>
      <c r="Q15" s="257"/>
      <c r="R15" s="437">
        <f>R11-R12-R13-R14</f>
        <v>661</v>
      </c>
      <c r="S15" s="516"/>
    </row>
    <row r="16" spans="3:19" ht="7.5" customHeight="1">
      <c r="C16" s="24"/>
      <c r="D16" s="427"/>
      <c r="E16" s="24"/>
      <c r="F16" s="427"/>
      <c r="G16" s="126"/>
      <c r="H16" s="427"/>
      <c r="I16" s="126"/>
      <c r="J16" s="126"/>
      <c r="K16" s="126"/>
      <c r="L16" s="126"/>
      <c r="M16" s="126"/>
      <c r="N16" s="427"/>
      <c r="O16" s="126"/>
      <c r="P16" s="427"/>
      <c r="Q16" s="126"/>
      <c r="R16" s="427"/>
      <c r="S16" s="516"/>
    </row>
    <row r="17" spans="3:19" ht="11.25" customHeight="1">
      <c r="C17" s="1" t="s">
        <v>7</v>
      </c>
      <c r="D17" s="53">
        <f>+'Segment  2007 Qtr'!E19</f>
        <v>260</v>
      </c>
      <c r="F17" s="53">
        <v>257</v>
      </c>
      <c r="G17" s="40"/>
      <c r="H17" s="53">
        <v>241</v>
      </c>
      <c r="I17" s="40"/>
      <c r="J17" s="53">
        <v>233</v>
      </c>
      <c r="K17" s="40"/>
      <c r="L17" s="53">
        <v>228</v>
      </c>
      <c r="M17" s="53"/>
      <c r="N17" s="53">
        <f>+H17+F17+D17</f>
        <v>758</v>
      </c>
      <c r="O17" s="53"/>
      <c r="P17" s="53">
        <v>643</v>
      </c>
      <c r="Q17" s="53"/>
      <c r="R17" s="53">
        <v>876</v>
      </c>
      <c r="S17" s="516"/>
    </row>
    <row r="18" spans="3:19" ht="11.25" customHeight="1">
      <c r="C18" s="172" t="s">
        <v>166</v>
      </c>
      <c r="D18" s="53">
        <f>+'Segment  2007 Qtr'!E20</f>
        <v>29</v>
      </c>
      <c r="E18" s="172"/>
      <c r="F18" s="53">
        <v>15</v>
      </c>
      <c r="G18" s="53"/>
      <c r="H18" s="53">
        <v>37</v>
      </c>
      <c r="I18" s="53"/>
      <c r="J18" s="53">
        <v>-11</v>
      </c>
      <c r="K18" s="53"/>
      <c r="L18" s="53">
        <v>-34</v>
      </c>
      <c r="M18" s="53"/>
      <c r="N18" s="53">
        <f>+H18+F18+D18</f>
        <v>81</v>
      </c>
      <c r="O18" s="53"/>
      <c r="P18" s="53">
        <v>-72</v>
      </c>
      <c r="Q18" s="53"/>
      <c r="R18" s="53">
        <v>-83</v>
      </c>
      <c r="S18" s="516"/>
    </row>
    <row r="19" spans="3:19" ht="11.25" customHeight="1">
      <c r="C19" s="1" t="s">
        <v>139</v>
      </c>
      <c r="D19" s="53">
        <f>+'Segment  2007 Qtr'!E21</f>
        <v>0</v>
      </c>
      <c r="F19" s="53">
        <v>0</v>
      </c>
      <c r="G19" s="53"/>
      <c r="H19" s="53">
        <v>0</v>
      </c>
      <c r="I19" s="53"/>
      <c r="J19" s="53">
        <v>0</v>
      </c>
      <c r="K19" s="53"/>
      <c r="L19" s="53">
        <v>0</v>
      </c>
      <c r="M19" s="53"/>
      <c r="N19" s="53">
        <f>+H19+F19+D19</f>
        <v>0</v>
      </c>
      <c r="O19" s="53"/>
      <c r="P19" s="53">
        <v>0</v>
      </c>
      <c r="Q19" s="53"/>
      <c r="R19" s="53">
        <v>0</v>
      </c>
      <c r="S19" s="516"/>
    </row>
    <row r="20" spans="3:19" ht="11.25" customHeight="1">
      <c r="C20" s="1" t="s">
        <v>245</v>
      </c>
      <c r="D20" s="53">
        <f>+'Segment  2007 Qtr'!E22</f>
        <v>1</v>
      </c>
      <c r="F20" s="53">
        <v>1</v>
      </c>
      <c r="G20" s="53"/>
      <c r="H20" s="53">
        <v>9</v>
      </c>
      <c r="I20" s="53"/>
      <c r="J20" s="53">
        <v>-13</v>
      </c>
      <c r="K20" s="53"/>
      <c r="L20" s="53">
        <v>11</v>
      </c>
      <c r="M20" s="53"/>
      <c r="N20" s="53">
        <f>+H20+F20+D20</f>
        <v>11</v>
      </c>
      <c r="O20" s="53"/>
      <c r="P20" s="53">
        <v>11</v>
      </c>
      <c r="Q20" s="53"/>
      <c r="R20" s="53">
        <v>-2</v>
      </c>
      <c r="S20" s="516"/>
    </row>
    <row r="21" spans="3:19" ht="11.25" customHeight="1">
      <c r="C21" s="171" t="s">
        <v>151</v>
      </c>
      <c r="D21" s="249">
        <f>+'Segment  2007 Qtr'!E23</f>
        <v>125</v>
      </c>
      <c r="E21" s="453"/>
      <c r="F21" s="249">
        <v>115</v>
      </c>
      <c r="G21" s="249"/>
      <c r="H21" s="249">
        <v>128</v>
      </c>
      <c r="I21" s="249"/>
      <c r="J21" s="249">
        <v>89</v>
      </c>
      <c r="K21" s="249"/>
      <c r="L21" s="249">
        <v>74</v>
      </c>
      <c r="M21" s="249"/>
      <c r="N21" s="249">
        <f>+H21+F21+D21</f>
        <v>368</v>
      </c>
      <c r="O21" s="249"/>
      <c r="P21" s="249">
        <v>263</v>
      </c>
      <c r="Q21" s="249"/>
      <c r="R21" s="249">
        <v>352</v>
      </c>
      <c r="S21" s="516"/>
    </row>
    <row r="22" spans="3:19" ht="11.25" customHeight="1">
      <c r="C22" s="171" t="s">
        <v>206</v>
      </c>
      <c r="D22" s="438">
        <f>D15+D17-D20+D18-D19-D21</f>
        <v>341</v>
      </c>
      <c r="E22" s="171"/>
      <c r="F22" s="438">
        <f>F15+F17-F20+F18-F19-F21</f>
        <v>337</v>
      </c>
      <c r="G22" s="336"/>
      <c r="H22" s="438">
        <f>H15+H17-H20+H18-H19-H21</f>
        <v>320</v>
      </c>
      <c r="I22" s="336"/>
      <c r="J22" s="336">
        <f>J15+J17-J20+J18-J19-J21</f>
        <v>309</v>
      </c>
      <c r="K22" s="336"/>
      <c r="L22" s="336">
        <f>L15+L17-L20+L18-L19-L21</f>
        <v>295</v>
      </c>
      <c r="M22" s="336"/>
      <c r="N22" s="438">
        <f>N15+N17-N20+N18-N19-N21</f>
        <v>998</v>
      </c>
      <c r="O22" s="336"/>
      <c r="P22" s="438">
        <f>P15+P17-P20+P18-P19-P21</f>
        <v>795</v>
      </c>
      <c r="Q22" s="336"/>
      <c r="R22" s="438">
        <f>R15+R17-R20+R18-R19-R21</f>
        <v>1104</v>
      </c>
      <c r="S22" s="516"/>
    </row>
    <row r="23" spans="3:19" ht="7.5" customHeight="1">
      <c r="C23" s="188"/>
      <c r="D23" s="439"/>
      <c r="E23" s="188"/>
      <c r="F23" s="439"/>
      <c r="G23" s="418"/>
      <c r="H23" s="439"/>
      <c r="I23" s="418"/>
      <c r="J23" s="418"/>
      <c r="K23" s="418"/>
      <c r="L23" s="418"/>
      <c r="M23" s="418"/>
      <c r="N23" s="439"/>
      <c r="O23" s="418"/>
      <c r="P23" s="439"/>
      <c r="Q23" s="418"/>
      <c r="R23" s="439"/>
      <c r="S23" s="516"/>
    </row>
    <row r="24" spans="3:19" ht="11.25" customHeight="1">
      <c r="C24" s="172" t="s">
        <v>166</v>
      </c>
      <c r="D24" s="53">
        <f>+'Segment  2007 Qtr'!E26</f>
        <v>29</v>
      </c>
      <c r="E24" s="172"/>
      <c r="F24" s="53">
        <v>15</v>
      </c>
      <c r="G24" s="53"/>
      <c r="H24" s="53">
        <v>37</v>
      </c>
      <c r="I24" s="53"/>
      <c r="J24" s="210">
        <v>-11</v>
      </c>
      <c r="K24" s="53"/>
      <c r="L24" s="53">
        <v>-34</v>
      </c>
      <c r="M24" s="53"/>
      <c r="N24" s="53">
        <f>+H24+F24+D24</f>
        <v>81</v>
      </c>
      <c r="O24" s="53"/>
      <c r="P24" s="53">
        <v>-72</v>
      </c>
      <c r="Q24" s="53"/>
      <c r="R24" s="53">
        <v>-83</v>
      </c>
      <c r="S24" s="516"/>
    </row>
    <row r="25" spans="3:19" ht="11.25" customHeight="1">
      <c r="C25" s="172" t="s">
        <v>246</v>
      </c>
      <c r="D25" s="53">
        <f>+'Segment  2007 Qtr'!E28</f>
        <v>0</v>
      </c>
      <c r="E25" s="172"/>
      <c r="F25" s="53">
        <v>8</v>
      </c>
      <c r="G25" s="53"/>
      <c r="H25" s="53">
        <v>15</v>
      </c>
      <c r="I25" s="53"/>
      <c r="J25" s="53">
        <v>-16</v>
      </c>
      <c r="K25" s="53"/>
      <c r="L25" s="53">
        <v>-32</v>
      </c>
      <c r="M25" s="53"/>
      <c r="N25" s="53">
        <f>+H25+F25+D25</f>
        <v>23</v>
      </c>
      <c r="O25" s="53"/>
      <c r="P25" s="53">
        <v>-39</v>
      </c>
      <c r="Q25" s="53"/>
      <c r="R25" s="53">
        <v>-55</v>
      </c>
      <c r="S25" s="516"/>
    </row>
    <row r="26" spans="3:19" ht="14.25" customHeight="1" thickBot="1">
      <c r="C26" s="172" t="s">
        <v>249</v>
      </c>
      <c r="D26" s="440">
        <f>D22-D24+D25</f>
        <v>312</v>
      </c>
      <c r="E26" s="454"/>
      <c r="F26" s="440">
        <f>F22-F24+F25</f>
        <v>330</v>
      </c>
      <c r="G26" s="379"/>
      <c r="H26" s="440">
        <f>H22-H24+H25</f>
        <v>298</v>
      </c>
      <c r="I26" s="379"/>
      <c r="J26" s="379">
        <f>J22-J24+J25</f>
        <v>304</v>
      </c>
      <c r="K26" s="379"/>
      <c r="L26" s="379">
        <f>L22-L24+L25</f>
        <v>297</v>
      </c>
      <c r="M26" s="379"/>
      <c r="N26" s="379">
        <f>N22-N24+N25</f>
        <v>940</v>
      </c>
      <c r="O26" s="379"/>
      <c r="P26" s="379">
        <f>P22-P24+P25</f>
        <v>828</v>
      </c>
      <c r="Q26" s="379"/>
      <c r="R26" s="440">
        <f>R22-R24+R25</f>
        <v>1132</v>
      </c>
      <c r="S26" s="516"/>
    </row>
    <row r="27" spans="4:19" ht="12" thickTop="1">
      <c r="D27" s="42"/>
      <c r="F27" s="42"/>
      <c r="G27" s="42"/>
      <c r="H27" s="42"/>
      <c r="I27" s="42"/>
      <c r="J27" s="42"/>
      <c r="K27" s="42"/>
      <c r="L27" s="42"/>
      <c r="M27" s="42"/>
      <c r="N27" s="419"/>
      <c r="O27" s="42"/>
      <c r="P27" s="419"/>
      <c r="Q27" s="42"/>
      <c r="R27" s="419"/>
      <c r="S27" s="121"/>
    </row>
    <row r="28" spans="3:19" ht="11.25">
      <c r="C28" s="178" t="s">
        <v>128</v>
      </c>
      <c r="D28" s="366"/>
      <c r="E28" s="178"/>
      <c r="F28" s="366"/>
      <c r="G28" s="366"/>
      <c r="H28" s="366"/>
      <c r="I28" s="366"/>
      <c r="J28" s="366"/>
      <c r="K28" s="366"/>
      <c r="L28" s="366"/>
      <c r="M28" s="42"/>
      <c r="N28" s="361"/>
      <c r="O28" s="42"/>
      <c r="P28" s="361"/>
      <c r="Q28" s="42"/>
      <c r="R28" s="361"/>
      <c r="S28" s="121"/>
    </row>
    <row r="29" spans="3:19" ht="11.25">
      <c r="C29" s="1" t="s">
        <v>123</v>
      </c>
      <c r="D29" s="16">
        <f>'Segment  2007 Qtr'!E55</f>
        <v>0.713</v>
      </c>
      <c r="F29" s="16">
        <v>0.698</v>
      </c>
      <c r="G29" s="16"/>
      <c r="H29" s="16">
        <v>0.722</v>
      </c>
      <c r="I29" s="16"/>
      <c r="J29" s="16">
        <v>0.717</v>
      </c>
      <c r="K29" s="16"/>
      <c r="L29" s="16">
        <v>0.704</v>
      </c>
      <c r="M29" s="16"/>
      <c r="N29" s="16">
        <f>+'Segment  2007 YTD'!E59</f>
        <v>0.711</v>
      </c>
      <c r="O29" s="16"/>
      <c r="P29" s="16">
        <v>0.7</v>
      </c>
      <c r="Q29" s="16"/>
      <c r="R29" s="16">
        <v>0.704</v>
      </c>
      <c r="S29" s="419"/>
    </row>
    <row r="30" spans="3:19" ht="11.25">
      <c r="C30" s="1" t="s">
        <v>130</v>
      </c>
      <c r="D30" s="16">
        <f>'Segment  2007 Qtr'!E56</f>
        <v>0.094</v>
      </c>
      <c r="F30" s="16">
        <v>0.088</v>
      </c>
      <c r="G30" s="16"/>
      <c r="H30" s="16">
        <v>0.075</v>
      </c>
      <c r="I30" s="16"/>
      <c r="J30" s="16">
        <v>0.083</v>
      </c>
      <c r="K30" s="16"/>
      <c r="L30" s="16">
        <v>0.091</v>
      </c>
      <c r="M30" s="16"/>
      <c r="N30" s="16">
        <f>+'Segment  2007 YTD'!E60</f>
        <v>0.086</v>
      </c>
      <c r="O30" s="16"/>
      <c r="P30" s="16">
        <v>0.096</v>
      </c>
      <c r="Q30" s="16"/>
      <c r="R30" s="16">
        <v>0.092</v>
      </c>
      <c r="S30" s="59"/>
    </row>
    <row r="31" spans="3:19" ht="11.25">
      <c r="C31" s="1" t="s">
        <v>138</v>
      </c>
      <c r="D31" s="16">
        <f>'Segment  2007 Qtr'!E57</f>
        <v>0.081</v>
      </c>
      <c r="F31" s="16">
        <v>0.089</v>
      </c>
      <c r="G31" s="18"/>
      <c r="H31" s="16">
        <v>0.087</v>
      </c>
      <c r="I31" s="18"/>
      <c r="J31" s="16">
        <v>0.089</v>
      </c>
      <c r="K31" s="18"/>
      <c r="L31" s="16">
        <v>0.084</v>
      </c>
      <c r="M31" s="18"/>
      <c r="N31" s="16">
        <f>+'Segment  2007 YTD'!E61</f>
        <v>0.085</v>
      </c>
      <c r="O31" s="18"/>
      <c r="P31" s="16">
        <v>0.087</v>
      </c>
      <c r="Q31" s="17"/>
      <c r="R31" s="16">
        <v>0.088</v>
      </c>
      <c r="S31" s="364"/>
    </row>
    <row r="32" spans="3:19" ht="12" thickBot="1">
      <c r="C32" s="171" t="s">
        <v>54</v>
      </c>
      <c r="D32" s="179">
        <f>SUM(D29:D31)</f>
        <v>0.8879999999999999</v>
      </c>
      <c r="E32" s="455"/>
      <c r="F32" s="179">
        <f>SUM(F29:F31)</f>
        <v>0.8749999999999999</v>
      </c>
      <c r="G32" s="179"/>
      <c r="H32" s="179">
        <f>SUM(H29:H31)</f>
        <v>0.8839999999999999</v>
      </c>
      <c r="I32" s="179"/>
      <c r="J32" s="179">
        <f>SUM(J29:J31)</f>
        <v>0.8889999999999999</v>
      </c>
      <c r="K32" s="179"/>
      <c r="L32" s="179">
        <f>SUM(L29:L31)</f>
        <v>0.8789999999999999</v>
      </c>
      <c r="M32" s="179"/>
      <c r="N32" s="179">
        <f>SUM(N29:N31)</f>
        <v>0.8819999999999999</v>
      </c>
      <c r="O32" s="179"/>
      <c r="P32" s="179">
        <f>SUM(P29:P31)</f>
        <v>0.8829999999999999</v>
      </c>
      <c r="Q32" s="179"/>
      <c r="R32" s="179">
        <f>SUM(R29:R31)</f>
        <v>0.8839999999999999</v>
      </c>
      <c r="S32" s="32"/>
    </row>
    <row r="33" spans="4:19" ht="12" thickTop="1">
      <c r="D33" s="42"/>
      <c r="F33" s="42"/>
      <c r="G33" s="62"/>
      <c r="H33" s="42"/>
      <c r="I33" s="62"/>
      <c r="J33" s="42"/>
      <c r="K33" s="62"/>
      <c r="L33" s="42"/>
      <c r="M33" s="42"/>
      <c r="N33" s="419"/>
      <c r="O33" s="42"/>
      <c r="P33" s="419"/>
      <c r="Q33" s="42"/>
      <c r="R33" s="419"/>
      <c r="S33" s="32"/>
    </row>
    <row r="34" spans="3:19" ht="11.25">
      <c r="C34" s="14" t="s">
        <v>2</v>
      </c>
      <c r="D34" s="37"/>
      <c r="E34" s="14"/>
      <c r="F34" s="37"/>
      <c r="G34" s="14"/>
      <c r="H34" s="37"/>
      <c r="I34" s="14"/>
      <c r="J34" s="37"/>
      <c r="K34" s="42"/>
      <c r="L34" s="37"/>
      <c r="M34" s="42"/>
      <c r="N34" s="30"/>
      <c r="O34" s="42"/>
      <c r="P34" s="30"/>
      <c r="Q34" s="42"/>
      <c r="R34" s="30"/>
      <c r="S34" s="364"/>
    </row>
    <row r="35" spans="3:19" ht="11.25">
      <c r="C35" s="1" t="s">
        <v>295</v>
      </c>
      <c r="D35" s="37">
        <v>0</v>
      </c>
      <c r="F35" s="37">
        <v>16</v>
      </c>
      <c r="H35" s="37">
        <v>0</v>
      </c>
      <c r="J35" s="37">
        <v>0</v>
      </c>
      <c r="K35" s="37"/>
      <c r="L35" s="37">
        <v>0</v>
      </c>
      <c r="M35" s="37"/>
      <c r="N35" s="37">
        <f>+H35+F35+D35</f>
        <v>16</v>
      </c>
      <c r="O35" s="37"/>
      <c r="P35" s="37">
        <v>0</v>
      </c>
      <c r="Q35" s="37"/>
      <c r="R35" s="37">
        <v>0</v>
      </c>
      <c r="S35" s="399"/>
    </row>
    <row r="36" spans="3:19" ht="11.25">
      <c r="C36" s="1" t="s">
        <v>311</v>
      </c>
      <c r="D36" s="37">
        <v>4</v>
      </c>
      <c r="F36" s="37">
        <v>-6</v>
      </c>
      <c r="H36" s="37">
        <v>10</v>
      </c>
      <c r="J36" s="37">
        <v>20</v>
      </c>
      <c r="L36" s="37">
        <v>30</v>
      </c>
      <c r="M36" s="37"/>
      <c r="N36" s="37">
        <f>+H36+F36+D36</f>
        <v>8</v>
      </c>
      <c r="O36" s="59"/>
      <c r="P36" s="37">
        <v>45</v>
      </c>
      <c r="Q36" s="37"/>
      <c r="R36" s="31">
        <v>65</v>
      </c>
      <c r="S36" s="399"/>
    </row>
    <row r="37" spans="4:19" ht="11.25">
      <c r="D37" s="126"/>
      <c r="F37" s="126"/>
      <c r="G37" s="126"/>
      <c r="H37" s="126"/>
      <c r="I37" s="126"/>
      <c r="J37" s="126"/>
      <c r="K37" s="126"/>
      <c r="L37" s="126"/>
      <c r="M37" s="126"/>
      <c r="N37" s="126"/>
      <c r="O37" s="399"/>
      <c r="P37" s="126"/>
      <c r="Q37" s="126"/>
      <c r="R37" s="126"/>
      <c r="S37" s="399"/>
    </row>
    <row r="38" spans="3:19" ht="11.25">
      <c r="C38" s="14" t="s">
        <v>13</v>
      </c>
      <c r="D38" s="126"/>
      <c r="F38" s="126"/>
      <c r="G38" s="126"/>
      <c r="H38" s="126"/>
      <c r="I38" s="126"/>
      <c r="J38" s="126"/>
      <c r="K38" s="126"/>
      <c r="L38" s="126"/>
      <c r="M38" s="126"/>
      <c r="N38" s="126"/>
      <c r="O38" s="399"/>
      <c r="P38" s="565"/>
      <c r="Q38" s="126"/>
      <c r="R38" s="126"/>
      <c r="S38" s="75"/>
    </row>
    <row r="39" spans="3:19" ht="11.25" customHeight="1">
      <c r="C39" s="1" t="s">
        <v>125</v>
      </c>
      <c r="D39" s="126">
        <f>(D10/L10)-1</f>
        <v>-0.006854009595613442</v>
      </c>
      <c r="F39" s="126">
        <v>0</v>
      </c>
      <c r="G39" s="126"/>
      <c r="H39" s="126">
        <v>0.007318695941450404</v>
      </c>
      <c r="I39" s="126"/>
      <c r="J39" s="126">
        <v>0.16129032258064524</v>
      </c>
      <c r="K39" s="126"/>
      <c r="L39" s="126">
        <v>-0.03949967083607642</v>
      </c>
      <c r="M39" s="126"/>
      <c r="N39" s="126">
        <f>(N10/P10)-1</f>
        <v>-0.0008960573476702871</v>
      </c>
      <c r="O39" s="399"/>
      <c r="P39" s="126">
        <v>-0.02</v>
      </c>
      <c r="Q39" s="126"/>
      <c r="R39" s="126">
        <v>0.023608478373255304</v>
      </c>
      <c r="S39" s="240"/>
    </row>
    <row r="40" spans="3:19" ht="11.25" customHeight="1">
      <c r="C40" s="1" t="s">
        <v>18</v>
      </c>
      <c r="D40" s="126">
        <f>(D11/L11)-1</f>
        <v>0.031027795733677976</v>
      </c>
      <c r="F40" s="126">
        <v>0.06</v>
      </c>
      <c r="G40" s="126"/>
      <c r="H40" s="126">
        <v>0.15367316341829085</v>
      </c>
      <c r="I40" s="126"/>
      <c r="J40" s="126">
        <v>0.09043736100815414</v>
      </c>
      <c r="K40" s="126"/>
      <c r="L40" s="126">
        <v>-0.030094043887147315</v>
      </c>
      <c r="M40" s="126"/>
      <c r="N40" s="126">
        <f>(N11/P11)-1</f>
        <v>0.08027306967984926</v>
      </c>
      <c r="O40" s="399"/>
      <c r="P40" s="126">
        <v>-0.03</v>
      </c>
      <c r="Q40" s="126"/>
      <c r="R40" s="239">
        <v>-0.0019197207678882666</v>
      </c>
      <c r="S40" s="42"/>
    </row>
    <row r="41" spans="4:18" ht="8.25" customHeight="1">
      <c r="D41" s="126"/>
      <c r="F41" s="126"/>
      <c r="H41" s="126"/>
      <c r="J41" s="126"/>
      <c r="K41" s="126"/>
      <c r="L41" s="126"/>
      <c r="M41" s="126"/>
      <c r="N41" s="126"/>
      <c r="O41" s="399"/>
      <c r="P41" s="126"/>
      <c r="Q41" s="126"/>
      <c r="R41" s="126"/>
    </row>
    <row r="42" spans="3:18" ht="11.25">
      <c r="C42" s="14" t="s">
        <v>14</v>
      </c>
      <c r="D42" s="42"/>
      <c r="E42" s="14"/>
      <c r="F42" s="42"/>
      <c r="G42" s="14"/>
      <c r="H42" s="42"/>
      <c r="I42" s="14"/>
      <c r="J42" s="42"/>
      <c r="K42" s="42"/>
      <c r="L42" s="42"/>
      <c r="M42" s="42"/>
      <c r="N42" s="42"/>
      <c r="O42" s="75"/>
      <c r="Q42" s="42"/>
      <c r="R42" s="42"/>
    </row>
    <row r="43" spans="3:18" ht="11.25" customHeight="1">
      <c r="C43" s="1" t="s">
        <v>53</v>
      </c>
      <c r="D43" s="239">
        <f>D10/D9</f>
        <v>0.5350812407680945</v>
      </c>
      <c r="F43" s="239">
        <f>F10/F9</f>
        <v>0.578215527230591</v>
      </c>
      <c r="H43" s="239">
        <f>H10/H9</f>
        <v>0.6672542970471573</v>
      </c>
      <c r="J43" s="239">
        <f>J10/J9</f>
        <v>0.6601073345259392</v>
      </c>
      <c r="K43" s="239"/>
      <c r="L43" s="239">
        <f>L10/L9</f>
        <v>0.572156862745098</v>
      </c>
      <c r="M43" s="239"/>
      <c r="N43" s="239">
        <f>N10/N9</f>
        <v>0.5894792492730637</v>
      </c>
      <c r="O43" s="240"/>
      <c r="P43" s="239">
        <f>P10/P9</f>
        <v>0.6010502221623805</v>
      </c>
      <c r="Q43" s="239"/>
      <c r="R43" s="239">
        <f>R10/R9</f>
        <v>0.614715926730829</v>
      </c>
    </row>
    <row r="44" spans="8:18" ht="11.25">
      <c r="H44" s="42"/>
      <c r="I44" s="42"/>
      <c r="J44" s="42"/>
      <c r="K44" s="42"/>
      <c r="L44" s="42"/>
      <c r="M44" s="42"/>
      <c r="N44" s="42"/>
      <c r="O44" s="75"/>
      <c r="Q44" s="42"/>
      <c r="R44" s="42"/>
    </row>
    <row r="45" spans="3:15" ht="11.25">
      <c r="C45" s="526" t="str">
        <f>+'Financial Highlights'!C49</f>
        <v>(1) See page 21 Non-GAAP Financial Measures.</v>
      </c>
      <c r="D45" s="527"/>
      <c r="E45" s="35"/>
      <c r="F45" s="35"/>
      <c r="G45" s="35"/>
      <c r="H45" s="57"/>
      <c r="I45" s="57"/>
      <c r="O45" s="7"/>
    </row>
    <row r="46" spans="3:15" ht="11.25">
      <c r="C46" s="267"/>
      <c r="O46" s="7"/>
    </row>
    <row r="47" ht="11.25">
      <c r="O47" s="7"/>
    </row>
  </sheetData>
  <mergeCells count="4">
    <mergeCell ref="C1:S1"/>
    <mergeCell ref="C2:S2"/>
    <mergeCell ref="C3:S3"/>
    <mergeCell ref="C4:S4"/>
  </mergeCells>
  <hyperlinks>
    <hyperlink ref="C45" location="'Reconciliation Non-GAAP'!A1" display="'Reconciliation Non-GAAP'!A1"/>
  </hyperlinks>
  <printOptions/>
  <pageMargins left="0.5" right="0.5" top="0.5" bottom="0.55" header="0.75" footer="0.3"/>
  <pageSetup horizontalDpi="600" verticalDpi="600" orientation="landscape" r:id="rId2"/>
  <headerFooter alignWithMargins="0">
    <oddFooter>&amp;L&amp;A&amp;R&amp;"Arial,Regular"&amp;8Page 7</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ACE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Message</dc:title>
  <dc:subject/>
  <dc:creator>Sabra Purtill</dc:creator>
  <cp:keywords/>
  <dc:description/>
  <cp:lastModifiedBy>Thomson Financial</cp:lastModifiedBy>
  <cp:lastPrinted>2007-10-23T11:42:45Z</cp:lastPrinted>
  <dcterms:created xsi:type="dcterms:W3CDTF">2002-06-18T14:43:31Z</dcterms:created>
  <dcterms:modified xsi:type="dcterms:W3CDTF">2007-10-23T20:19:03Z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